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comments18.xml" ContentType="application/vnd.openxmlformats-officedocument.spreadsheetml.comments+xml"/>
  <Override PartName="/xl/threadedComments/threadedComment18.xml" ContentType="application/vnd.ms-excel.threadedcomments+xml"/>
  <Override PartName="/xl/comments19.xml" ContentType="application/vnd.openxmlformats-officedocument.spreadsheetml.comments+xml"/>
  <Override PartName="/xl/threadedComments/threadedComment19.xml" ContentType="application/vnd.ms-excel.threadedcomments+xml"/>
  <Override PartName="/xl/comments20.xml" ContentType="application/vnd.openxmlformats-officedocument.spreadsheetml.comments+xml"/>
  <Override PartName="/xl/threadedComments/threadedComment20.xml" ContentType="application/vnd.ms-excel.threadedcomments+xml"/>
  <Override PartName="/xl/comments21.xml" ContentType="application/vnd.openxmlformats-officedocument.spreadsheetml.comments+xml"/>
  <Override PartName="/xl/threadedComments/threadedComment21.xml" ContentType="application/vnd.ms-excel.threadedcomments+xml"/>
  <Override PartName="/xl/comments22.xml" ContentType="application/vnd.openxmlformats-officedocument.spreadsheetml.comments+xml"/>
  <Override PartName="/xl/threadedComments/threadedComment22.xml" ContentType="application/vnd.ms-excel.threadedcomments+xml"/>
  <Override PartName="/xl/comments23.xml" ContentType="application/vnd.openxmlformats-officedocument.spreadsheetml.comments+xml"/>
  <Override PartName="/xl/threadedComments/threadedComment23.xml" ContentType="application/vnd.ms-excel.threadedcomments+xml"/>
  <Override PartName="/xl/comments24.xml" ContentType="application/vnd.openxmlformats-officedocument.spreadsheetml.comments+xml"/>
  <Override PartName="/xl/threadedComments/threadedComment24.xml" ContentType="application/vnd.ms-excel.threadedcomments+xml"/>
  <Override PartName="/xl/comments25.xml" ContentType="application/vnd.openxmlformats-officedocument.spreadsheetml.comments+xml"/>
  <Override PartName="/xl/threadedComments/threadedComment25.xml" ContentType="application/vnd.ms-excel.threadedcomments+xml"/>
  <Override PartName="/xl/comments26.xml" ContentType="application/vnd.openxmlformats-officedocument.spreadsheetml.comments+xml"/>
  <Override PartName="/xl/threadedComments/threadedComment26.xml" ContentType="application/vnd.ms-excel.threadedcomments+xml"/>
  <Override PartName="/xl/comments27.xml" ContentType="application/vnd.openxmlformats-officedocument.spreadsheetml.comments+xml"/>
  <Override PartName="/xl/threadedComments/threadedComment27.xml" ContentType="application/vnd.ms-excel.threadedcomments+xml"/>
  <Override PartName="/xl/comments28.xml" ContentType="application/vnd.openxmlformats-officedocument.spreadsheetml.comments+xml"/>
  <Override PartName="/xl/threadedComments/threadedComment28.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oimspp.sharepoint.com/sites/opmb-FS-OWF/Shared Documents/OWF-O_Drive/#New Hierarchy/Mission/Budget/FY2022/Budget Execution/doi.spreadsheet/"/>
    </mc:Choice>
  </mc:AlternateContent>
  <xr:revisionPtr revIDLastSave="375" documentId="8_{6ABF27BB-347F-491A-8B76-A5488E30E2FB}" xr6:coauthVersionLast="47" xr6:coauthVersionMax="47" xr10:uidLastSave="{A5546BB3-B57B-460E-B010-21FE2EAB1F43}"/>
  <bookViews>
    <workbookView xWindow="460" yWindow="831" windowWidth="20368" windowHeight="12916" activeTab="2" xr2:uid="{00000000-000D-0000-FFFF-FFFF00000000}"/>
  </bookViews>
  <sheets>
    <sheet name="Prep%Fuelspercentage.direct" sheetId="3" r:id="rId1"/>
    <sheet name="Chng Log" sheetId="12" r:id="rId2"/>
    <sheet name="Summary" sheetId="1" r:id="rId3"/>
    <sheet name="DOI Prog&amp;SLA Summary" sheetId="2" r:id="rId4"/>
    <sheet name="IT (WFIT) Project Summary" sheetId="104" r:id="rId5"/>
    <sheet name="Aviation Assets" sheetId="45" r:id="rId6"/>
    <sheet name="Collaborative Imp" sheetId="9" r:id="rId7"/>
    <sheet name="DOI prep agrmnts" sheetId="4" r:id="rId8"/>
    <sheet name="ITSS Training" sheetId="108" r:id="rId9"/>
    <sheet name="LLC Support" sheetId="31" r:id="rId10"/>
    <sheet name="Lightning Det." sheetId="44" r:id="rId11"/>
    <sheet name="Med Standards Ops" sheetId="36" r:id="rId12"/>
    <sheet name="WFMRD&amp;A" sheetId="109" r:id="rId13"/>
    <sheet name="DOI Fuels Agrmnts" sheetId="18" r:id="rId14"/>
    <sheet name="SageSTEP" sheetId="16" r:id="rId15"/>
    <sheet name="BAR Program" sheetId="38" r:id="rId16"/>
    <sheet name="CPC" sheetId="25" r:id="rId17"/>
    <sheet name="FIRES" sheetId="28" r:id="rId18"/>
    <sheet name="Med Standards Exams" sheetId="37" r:id="rId19"/>
    <sheet name="Misc and one-time - Prep" sheetId="21" r:id="rId20"/>
    <sheet name="Misc and one-time - Fuels" sheetId="120" r:id="rId21"/>
    <sheet name="NIFC Site &amp; Admin" sheetId="22" r:id="rId22"/>
    <sheet name="NWCG Staff" sheetId="40" r:id="rId23"/>
    <sheet name="NWCG Prep Projects" sheetId="39" r:id="rId24"/>
    <sheet name="RSFWSU (RAWS) SLA" sheetId="26" r:id="rId25"/>
    <sheet name="FireNET.Licensing" sheetId="121" r:id="rId26"/>
    <sheet name="Facilities Plan" sheetId="58" r:id="rId27"/>
    <sheet name="Active Lands PoC" sheetId="122" r:id="rId28"/>
    <sheet name="AGOL Collector" sheetId="54" r:id="rId29"/>
    <sheet name="CAD" sheetId="55" r:id="rId30"/>
    <sheet name="CROS" sheetId="52" r:id="rId31"/>
    <sheet name="FFI" sheetId="32" r:id="rId32"/>
    <sheet name="FEIS" sheetId="34" r:id="rId33"/>
    <sheet name="FireCode" sheetId="15" r:id="rId34"/>
    <sheet name="FIRENET" sheetId="59" r:id="rId35"/>
    <sheet name="FxNET-AWIPSII" sheetId="29" r:id="rId36"/>
    <sheet name="IFTDSS" sheetId="43" r:id="rId37"/>
    <sheet name="INFORM" sheetId="74" r:id="rId38"/>
    <sheet name="IQCS" sheetId="14" r:id="rId39"/>
    <sheet name="IrWIN" sheetId="6" r:id="rId40"/>
    <sheet name="LANDFIRE" sheetId="10" r:id="rId41"/>
    <sheet name="MTBS" sheetId="33" r:id="rId42"/>
    <sheet name="NFPORS" sheetId="11" r:id="rId43"/>
    <sheet name="SAFENET" sheetId="17" r:id="rId44"/>
    <sheet name="WFDSS" sheetId="7" r:id="rId45"/>
    <sheet name="WFIT Data Management" sheetId="125" r:id="rId46"/>
    <sheet name="WFIT Staff" sheetId="48" r:id="rId47"/>
    <sheet name="WFMI-Fire Reporting" sheetId="27" r:id="rId48"/>
    <sheet name="WFMI-Lightning" sheetId="115" r:id="rId49"/>
    <sheet name="WFMI-Unit ID" sheetId="117" r:id="rId50"/>
    <sheet name="WFMI-Weather" sheetId="116" r:id="rId51"/>
  </sheets>
  <definedNames>
    <definedName name="j" localSheetId="28">#REF!</definedName>
    <definedName name="j" localSheetId="5">#REF!</definedName>
    <definedName name="j" localSheetId="29">#REF!</definedName>
    <definedName name="j" localSheetId="30">#REF!</definedName>
    <definedName name="j" localSheetId="32">#REF!</definedName>
    <definedName name="j" localSheetId="10">#REF!</definedName>
    <definedName name="j" localSheetId="18">#REF!</definedName>
    <definedName name="j" localSheetId="11">#REF!</definedName>
    <definedName name="j" localSheetId="23">#REF!</definedName>
    <definedName name="j" localSheetId="22">#REF!</definedName>
    <definedName name="j" localSheetId="46">#REF!</definedName>
    <definedName name="j">#REF!</definedName>
    <definedName name="k" localSheetId="28">#REF!</definedName>
    <definedName name="k" localSheetId="5">#REF!</definedName>
    <definedName name="k" localSheetId="29">#REF!</definedName>
    <definedName name="k" localSheetId="30">#REF!</definedName>
    <definedName name="k" localSheetId="32">#REF!</definedName>
    <definedName name="k" localSheetId="10">#REF!</definedName>
    <definedName name="k" localSheetId="18">#REF!</definedName>
    <definedName name="k" localSheetId="11">#REF!</definedName>
    <definedName name="k" localSheetId="23">#REF!</definedName>
    <definedName name="k" localSheetId="22">#REF!</definedName>
    <definedName name="k" localSheetId="46">#REF!</definedName>
    <definedName name="k">#REF!</definedName>
    <definedName name="m" localSheetId="28">#REF!</definedName>
    <definedName name="m" localSheetId="5">#REF!</definedName>
    <definedName name="m" localSheetId="29">#REF!</definedName>
    <definedName name="m" localSheetId="30">#REF!</definedName>
    <definedName name="m" localSheetId="32">#REF!</definedName>
    <definedName name="m" localSheetId="10">#REF!</definedName>
    <definedName name="m" localSheetId="18">#REF!</definedName>
    <definedName name="m" localSheetId="11">#REF!</definedName>
    <definedName name="m" localSheetId="23">#REF!</definedName>
    <definedName name="m" localSheetId="22">#REF!</definedName>
    <definedName name="m" localSheetId="46">#REF!</definedName>
    <definedName name="m">#REF!</definedName>
    <definedName name="Note_1" localSheetId="28">#REF!</definedName>
    <definedName name="Note_1" localSheetId="5">#REF!</definedName>
    <definedName name="Note_1" localSheetId="29">#REF!</definedName>
    <definedName name="Note_1" localSheetId="30">#REF!</definedName>
    <definedName name="Note_1" localSheetId="32">#REF!</definedName>
    <definedName name="Note_1" localSheetId="10">#REF!</definedName>
    <definedName name="Note_1" localSheetId="18">#REF!</definedName>
    <definedName name="Note_1" localSheetId="11">#REF!</definedName>
    <definedName name="Note_1" localSheetId="19">#REF!</definedName>
    <definedName name="Note_1" localSheetId="23">#REF!</definedName>
    <definedName name="Note_1" localSheetId="22">#REF!</definedName>
    <definedName name="Note_1" localSheetId="46">#REF!</definedName>
    <definedName name="Note_1">#REF!</definedName>
    <definedName name="Note_2" localSheetId="28">#REF!</definedName>
    <definedName name="Note_2" localSheetId="5">#REF!</definedName>
    <definedName name="Note_2" localSheetId="29">#REF!</definedName>
    <definedName name="Note_2" localSheetId="30">#REF!</definedName>
    <definedName name="Note_2" localSheetId="32">#REF!</definedName>
    <definedName name="Note_2" localSheetId="10">#REF!</definedName>
    <definedName name="Note_2" localSheetId="18">#REF!</definedName>
    <definedName name="Note_2" localSheetId="11">#REF!</definedName>
    <definedName name="Note_2" localSheetId="19">#REF!</definedName>
    <definedName name="Note_2" localSheetId="23">#REF!</definedName>
    <definedName name="Note_2" localSheetId="22">#REF!</definedName>
    <definedName name="Note_2" localSheetId="46">#REF!</definedName>
    <definedName name="Note_2">#REF!</definedName>
    <definedName name="Note_3" localSheetId="28">#REF!</definedName>
    <definedName name="Note_3" localSheetId="5">#REF!</definedName>
    <definedName name="Note_3" localSheetId="29">#REF!</definedName>
    <definedName name="Note_3" localSheetId="30">#REF!</definedName>
    <definedName name="Note_3" localSheetId="32">#REF!</definedName>
    <definedName name="Note_3" localSheetId="10">#REF!</definedName>
    <definedName name="Note_3" localSheetId="18">#REF!</definedName>
    <definedName name="Note_3" localSheetId="11">#REF!</definedName>
    <definedName name="Note_3" localSheetId="19">#REF!</definedName>
    <definedName name="Note_3" localSheetId="23">#REF!</definedName>
    <definedName name="Note_3" localSheetId="22">#REF!</definedName>
    <definedName name="Note_3" localSheetId="46">#REF!</definedName>
    <definedName name="Note_3">#REF!</definedName>
    <definedName name="Note_4" localSheetId="28">#REF!</definedName>
    <definedName name="Note_4" localSheetId="5">#REF!</definedName>
    <definedName name="Note_4" localSheetId="29">#REF!</definedName>
    <definedName name="Note_4" localSheetId="30">#REF!</definedName>
    <definedName name="Note_4" localSheetId="32">#REF!</definedName>
    <definedName name="Note_4" localSheetId="10">#REF!</definedName>
    <definedName name="Note_4" localSheetId="18">#REF!</definedName>
    <definedName name="Note_4" localSheetId="11">#REF!</definedName>
    <definedName name="Note_4" localSheetId="19">#REF!</definedName>
    <definedName name="Note_4" localSheetId="23">#REF!</definedName>
    <definedName name="Note_4" localSheetId="22">#REF!</definedName>
    <definedName name="Note_4" localSheetId="46">#REF!</definedName>
    <definedName name="Note_4">#REF!</definedName>
    <definedName name="Note_5" localSheetId="28">#REF!</definedName>
    <definedName name="Note_5" localSheetId="5">#REF!</definedName>
    <definedName name="Note_5" localSheetId="29">#REF!</definedName>
    <definedName name="Note_5" localSheetId="30">#REF!</definedName>
    <definedName name="Note_5" localSheetId="32">#REF!</definedName>
    <definedName name="Note_5" localSheetId="10">#REF!</definedName>
    <definedName name="Note_5" localSheetId="18">#REF!</definedName>
    <definedName name="Note_5" localSheetId="11">#REF!</definedName>
    <definedName name="Note_5" localSheetId="19">#REF!</definedName>
    <definedName name="Note_5" localSheetId="23">#REF!</definedName>
    <definedName name="Note_5" localSheetId="22">#REF!</definedName>
    <definedName name="Note_5" localSheetId="46">#REF!</definedName>
    <definedName name="Note_5">#REF!</definedName>
    <definedName name="Note_6" localSheetId="28">#REF!</definedName>
    <definedName name="Note_6" localSheetId="5">#REF!</definedName>
    <definedName name="Note_6" localSheetId="29">#REF!</definedName>
    <definedName name="Note_6" localSheetId="30">#REF!</definedName>
    <definedName name="Note_6" localSheetId="32">#REF!</definedName>
    <definedName name="Note_6" localSheetId="10">#REF!</definedName>
    <definedName name="Note_6" localSheetId="18">#REF!</definedName>
    <definedName name="Note_6" localSheetId="11">#REF!</definedName>
    <definedName name="Note_6" localSheetId="19">#REF!</definedName>
    <definedName name="Note_6" localSheetId="23">#REF!</definedName>
    <definedName name="Note_6" localSheetId="22">#REF!</definedName>
    <definedName name="Note_6" localSheetId="46">#REF!</definedName>
    <definedName name="Note_6">#REF!</definedName>
    <definedName name="Note_7" localSheetId="28">#REF!</definedName>
    <definedName name="Note_7" localSheetId="5">#REF!</definedName>
    <definedName name="Note_7" localSheetId="29">#REF!</definedName>
    <definedName name="Note_7" localSheetId="30">#REF!</definedName>
    <definedName name="Note_7" localSheetId="32">#REF!</definedName>
    <definedName name="Note_7" localSheetId="10">#REF!</definedName>
    <definedName name="Note_7" localSheetId="18">#REF!</definedName>
    <definedName name="Note_7" localSheetId="11">#REF!</definedName>
    <definedName name="Note_7" localSheetId="19">#REF!</definedName>
    <definedName name="Note_7" localSheetId="23">#REF!</definedName>
    <definedName name="Note_7" localSheetId="22">#REF!</definedName>
    <definedName name="Note_7" localSheetId="46">#REF!</definedName>
    <definedName name="Note_7">#REF!</definedName>
    <definedName name="Note_8" localSheetId="28">#REF!</definedName>
    <definedName name="Note_8" localSheetId="5">#REF!</definedName>
    <definedName name="Note_8" localSheetId="29">#REF!</definedName>
    <definedName name="Note_8" localSheetId="30">#REF!</definedName>
    <definedName name="Note_8" localSheetId="32">#REF!</definedName>
    <definedName name="Note_8" localSheetId="10">#REF!</definedName>
    <definedName name="Note_8" localSheetId="18">#REF!</definedName>
    <definedName name="Note_8" localSheetId="11">#REF!</definedName>
    <definedName name="Note_8" localSheetId="19">#REF!</definedName>
    <definedName name="Note_8" localSheetId="23">#REF!</definedName>
    <definedName name="Note_8" localSheetId="22">#REF!</definedName>
    <definedName name="Note_8" localSheetId="46">#REF!</definedName>
    <definedName name="Note_8">#REF!</definedName>
    <definedName name="Note_9" localSheetId="28">#REF!</definedName>
    <definedName name="Note_9" localSheetId="5">#REF!</definedName>
    <definedName name="Note_9" localSheetId="29">#REF!</definedName>
    <definedName name="Note_9" localSheetId="30">#REF!</definedName>
    <definedName name="Note_9" localSheetId="32">#REF!</definedName>
    <definedName name="Note_9" localSheetId="10">#REF!</definedName>
    <definedName name="Note_9" localSheetId="18">#REF!</definedName>
    <definedName name="Note_9" localSheetId="11">#REF!</definedName>
    <definedName name="Note_9" localSheetId="19">#REF!</definedName>
    <definedName name="Note_9" localSheetId="23">#REF!</definedName>
    <definedName name="Note_9" localSheetId="22">#REF!</definedName>
    <definedName name="Note_9" localSheetId="46">#REF!</definedName>
    <definedName name="Note_9">#REF!</definedName>
    <definedName name="_xlnm.Print_Area" localSheetId="5">'Aviation Assets'!$A$1:$O$47</definedName>
    <definedName name="_xlnm.Print_Area" localSheetId="6">'Collaborative Imp'!$A$1:$N$37</definedName>
    <definedName name="_xlnm.Print_Area" localSheetId="3">'DOI Prog&amp;SLA Summary'!$A$1:$L$64</definedName>
    <definedName name="_xlnm.Print_Area" localSheetId="4">'IT (WFIT) Project Summary'!$A$1:$L$49</definedName>
    <definedName name="_xlnm.Print_Area" localSheetId="2">Summary!$A$1:$J$230</definedName>
    <definedName name="_xlnm.Print_Titles" localSheetId="13">'DOI Fuels Agrmnts'!$2:$5</definedName>
    <definedName name="_xlnm.Print_Titles" localSheetId="7">'DOI prep agrmnts'!$2:$5</definedName>
    <definedName name="_xlnm.Print_Titles" localSheetId="3">'DOI Prog&amp;SLA Summary'!$1:$1</definedName>
    <definedName name="_xlnm.Print_Titles" localSheetId="36">IFTDSS!$2:$5</definedName>
    <definedName name="_xlnm.Print_Titles" localSheetId="39">IrWIN!$2:$5</definedName>
    <definedName name="_xlnm.Print_Titles" localSheetId="40">LANDFIRE!$2:$5</definedName>
    <definedName name="_xlnm.Print_Titles" localSheetId="42">NFPORS!$2:$5</definedName>
    <definedName name="_xlnm.Print_Titles" localSheetId="22">'NWCG Staff'!$2:$5</definedName>
    <definedName name="_xlnm.Print_Titles" localSheetId="0">'Prep%Fuelspercentage.direct'!$42:$42</definedName>
    <definedName name="_xlnm.Print_Titles" localSheetId="2">Summary!$1:$1</definedName>
    <definedName name="q" localSheetId="28">#REF!</definedName>
    <definedName name="q" localSheetId="5">#REF!</definedName>
    <definedName name="q" localSheetId="29">#REF!</definedName>
    <definedName name="q" localSheetId="30">#REF!</definedName>
    <definedName name="q" localSheetId="32">#REF!</definedName>
    <definedName name="q" localSheetId="10">#REF!</definedName>
    <definedName name="q" localSheetId="18">#REF!</definedName>
    <definedName name="q" localSheetId="11">#REF!</definedName>
    <definedName name="q" localSheetId="23">#REF!</definedName>
    <definedName name="q" localSheetId="22">#REF!</definedName>
    <definedName name="q" localSheetId="46">#REF!</definedName>
    <definedName name="q">#REF!</definedName>
    <definedName name="t" localSheetId="28">#REF!</definedName>
    <definedName name="t" localSheetId="5">#REF!</definedName>
    <definedName name="t" localSheetId="29">#REF!</definedName>
    <definedName name="t" localSheetId="30">#REF!</definedName>
    <definedName name="t" localSheetId="32">#REF!</definedName>
    <definedName name="t" localSheetId="10">#REF!</definedName>
    <definedName name="t" localSheetId="18">#REF!</definedName>
    <definedName name="t" localSheetId="11">#REF!</definedName>
    <definedName name="t" localSheetId="23">#REF!</definedName>
    <definedName name="t" localSheetId="22">#REF!</definedName>
    <definedName name="t" localSheetId="46">#REF!</definedName>
    <definedName name="t">#REF!</definedName>
    <definedName name="u" localSheetId="28">#REF!</definedName>
    <definedName name="u" localSheetId="5">#REF!</definedName>
    <definedName name="u" localSheetId="29">#REF!</definedName>
    <definedName name="u" localSheetId="30">#REF!</definedName>
    <definedName name="u" localSheetId="32">#REF!</definedName>
    <definedName name="u" localSheetId="10">#REF!</definedName>
    <definedName name="u" localSheetId="18">#REF!</definedName>
    <definedName name="u" localSheetId="11">#REF!</definedName>
    <definedName name="u" localSheetId="23">#REF!</definedName>
    <definedName name="u" localSheetId="22">#REF!</definedName>
    <definedName name="u" localSheetId="46">#REF!</definedName>
    <definedName name="u">#REF!</definedName>
    <definedName name="w" localSheetId="28">#REF!</definedName>
    <definedName name="w" localSheetId="5">#REF!</definedName>
    <definedName name="w" localSheetId="29">#REF!</definedName>
    <definedName name="w" localSheetId="30">#REF!</definedName>
    <definedName name="w" localSheetId="32">#REF!</definedName>
    <definedName name="w" localSheetId="10">#REF!</definedName>
    <definedName name="w" localSheetId="18">#REF!</definedName>
    <definedName name="w" localSheetId="11">#REF!</definedName>
    <definedName name="w" localSheetId="23">#REF!</definedName>
    <definedName name="w" localSheetId="22">#REF!</definedName>
    <definedName name="w" localSheetId="46">#REF!</definedName>
    <definedName name="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59" l="1"/>
  <c r="B50" i="121"/>
  <c r="H14" i="1" l="1"/>
  <c r="F280" i="1" l="1"/>
  <c r="H280" i="1"/>
  <c r="I280" i="1"/>
  <c r="G280" i="1"/>
  <c r="E280" i="1"/>
  <c r="D280" i="1"/>
  <c r="I266" i="1"/>
  <c r="E266" i="1"/>
  <c r="I160" i="1"/>
  <c r="E160" i="1"/>
  <c r="D266" i="1"/>
  <c r="G266" i="1"/>
  <c r="G160" i="1"/>
  <c r="D160" i="1"/>
  <c r="H11" i="1"/>
  <c r="E13" i="1"/>
  <c r="E151" i="1"/>
  <c r="F160" i="1" l="1"/>
  <c r="F84" i="1"/>
  <c r="F38" i="1"/>
  <c r="F11" i="1"/>
  <c r="E38" i="1"/>
  <c r="E171" i="1"/>
  <c r="B47" i="43"/>
  <c r="B38" i="10"/>
  <c r="K31" i="10"/>
  <c r="C265" i="1" l="1"/>
  <c r="D6" i="3"/>
  <c r="I6" i="3"/>
  <c r="E7" i="3" s="1"/>
  <c r="E8" i="3" s="1"/>
  <c r="J6" i="3"/>
  <c r="D7" i="3"/>
  <c r="D8" i="3" s="1"/>
  <c r="F7" i="3"/>
  <c r="F8" i="3" s="1"/>
  <c r="F13" i="1" s="1"/>
  <c r="G7" i="3"/>
  <c r="G8" i="3" s="1"/>
  <c r="G13" i="1" s="1"/>
  <c r="H7" i="3"/>
  <c r="H8" i="3" s="1"/>
  <c r="H13" i="1" s="1"/>
  <c r="F44" i="120"/>
  <c r="J44" i="120"/>
  <c r="I44" i="120"/>
  <c r="H44" i="120"/>
  <c r="G44" i="120"/>
  <c r="I8" i="3" l="1"/>
  <c r="J8" i="3"/>
  <c r="D13" i="1"/>
  <c r="J42" i="21"/>
  <c r="I42" i="21"/>
  <c r="H42" i="21"/>
  <c r="G42" i="21"/>
  <c r="J10" i="104" l="1"/>
  <c r="L19" i="120"/>
  <c r="M25" i="104" l="1"/>
  <c r="M31" i="104"/>
  <c r="M29" i="104"/>
  <c r="M32" i="104"/>
  <c r="F29" i="104"/>
  <c r="K33" i="48" l="1"/>
  <c r="K36" i="125"/>
  <c r="K45" i="11"/>
  <c r="K42" i="6"/>
  <c r="I47" i="74"/>
  <c r="I46" i="74"/>
  <c r="K40" i="74"/>
  <c r="F42" i="38"/>
  <c r="L33" i="18"/>
  <c r="J38" i="109"/>
  <c r="H31" i="44"/>
  <c r="H23" i="2"/>
  <c r="H7" i="2"/>
  <c r="K46" i="31"/>
  <c r="K45" i="31" s="1"/>
  <c r="D10" i="104" l="1"/>
  <c r="F10" i="104"/>
  <c r="J38" i="31"/>
  <c r="J13" i="1"/>
  <c r="E27" i="2"/>
  <c r="J155" i="1"/>
  <c r="J264" i="1"/>
  <c r="J263" i="1" l="1"/>
  <c r="H72" i="1" l="1"/>
  <c r="G72" i="1"/>
  <c r="F72" i="1"/>
  <c r="E72" i="1"/>
  <c r="D72" i="1"/>
  <c r="D202" i="1"/>
  <c r="D203" i="1" s="1"/>
  <c r="I184" i="1"/>
  <c r="H183" i="1"/>
  <c r="H184" i="1" s="1"/>
  <c r="B54" i="31" l="1"/>
  <c r="C221" i="1" l="1"/>
  <c r="J66" i="1"/>
  <c r="J197" i="1"/>
  <c r="J176" i="1"/>
  <c r="H25" i="38"/>
  <c r="F40" i="108"/>
  <c r="J38" i="108"/>
  <c r="J262" i="1"/>
  <c r="F227" i="1" l="1"/>
  <c r="H225" i="1" l="1"/>
  <c r="G225" i="1"/>
  <c r="F225" i="1"/>
  <c r="E225" i="1"/>
  <c r="I224" i="1"/>
  <c r="H224" i="1"/>
  <c r="G224" i="1"/>
  <c r="F224" i="1"/>
  <c r="E224" i="1"/>
  <c r="D224" i="1"/>
  <c r="I42" i="1"/>
  <c r="I261" i="1"/>
  <c r="J261" i="1" s="1"/>
  <c r="C260" i="1"/>
  <c r="I260" i="1" s="1"/>
  <c r="J260" i="1" s="1"/>
  <c r="C67" i="1"/>
  <c r="I67" i="1" l="1"/>
  <c r="I223" i="1"/>
  <c r="H223" i="1"/>
  <c r="G223" i="1"/>
  <c r="F223" i="1"/>
  <c r="E223" i="1"/>
  <c r="D223" i="1"/>
  <c r="C198" i="1"/>
  <c r="C177" i="1"/>
  <c r="C156" i="1"/>
  <c r="C92" i="1"/>
  <c r="C44" i="1"/>
  <c r="C21" i="1"/>
  <c r="C222" i="1" l="1"/>
  <c r="I126" i="1"/>
  <c r="C134" i="1"/>
  <c r="I134" i="1" s="1"/>
  <c r="C133" i="1"/>
  <c r="I133" i="1" s="1"/>
  <c r="C132" i="1"/>
  <c r="I132" i="1" s="1"/>
  <c r="C131" i="1"/>
  <c r="I131" i="1" s="1"/>
  <c r="J258" i="1" l="1"/>
  <c r="I45" i="1"/>
  <c r="D45" i="1"/>
  <c r="J18" i="38"/>
  <c r="K9" i="109" l="1"/>
  <c r="F9" i="109"/>
  <c r="J259" i="1"/>
  <c r="J257" i="1"/>
  <c r="J45" i="1"/>
  <c r="C223" i="1" l="1"/>
  <c r="J68" i="1"/>
  <c r="I47" i="1" l="1"/>
  <c r="I225" i="1" s="1"/>
  <c r="D47" i="1"/>
  <c r="D225" i="1" s="1"/>
  <c r="H84" i="1" l="1"/>
  <c r="K19" i="121"/>
  <c r="F19" i="121"/>
  <c r="J254" i="1" l="1"/>
  <c r="F22" i="121" l="1"/>
  <c r="F21" i="121"/>
  <c r="F20" i="121"/>
  <c r="J253" i="1" l="1"/>
  <c r="F15" i="18" l="1"/>
  <c r="F16" i="18"/>
  <c r="F41" i="125" l="1"/>
  <c r="H217" i="1"/>
  <c r="C207" i="1"/>
  <c r="I50" i="2"/>
  <c r="J248" i="1"/>
  <c r="J181" i="1" l="1"/>
  <c r="J180" i="1"/>
  <c r="C227" i="1"/>
  <c r="D50" i="1" l="1"/>
  <c r="J249" i="1" l="1"/>
  <c r="J95" i="1"/>
  <c r="J50" i="1"/>
  <c r="C200" i="1" l="1"/>
  <c r="C179" i="1"/>
  <c r="C158" i="1"/>
  <c r="C94" i="1"/>
  <c r="J69" i="1"/>
  <c r="C69" i="1"/>
  <c r="C49" i="1"/>
  <c r="C23" i="1"/>
  <c r="C224" i="1" l="1"/>
  <c r="J126" i="1"/>
  <c r="J133" i="1"/>
  <c r="J132" i="1"/>
  <c r="C126" i="1"/>
  <c r="H135" i="1"/>
  <c r="H137" i="1" s="1"/>
  <c r="G135" i="1"/>
  <c r="F135" i="1"/>
  <c r="E135" i="1"/>
  <c r="D135" i="1"/>
  <c r="I135" i="1"/>
  <c r="J138" i="1"/>
  <c r="C137" i="1"/>
  <c r="J130" i="1"/>
  <c r="J129" i="1"/>
  <c r="B128" i="1"/>
  <c r="J127" i="1"/>
  <c r="C125" i="1"/>
  <c r="B43" i="18"/>
  <c r="J247" i="1"/>
  <c r="J246" i="1"/>
  <c r="I245" i="1"/>
  <c r="J245" i="1" s="1"/>
  <c r="C128" i="1" l="1"/>
  <c r="J134" i="1"/>
  <c r="C140" i="1"/>
  <c r="C141" i="1" s="1"/>
  <c r="H140" i="1"/>
  <c r="F140" i="1"/>
  <c r="F141" i="1" s="1"/>
  <c r="F137" i="1"/>
  <c r="G137" i="1"/>
  <c r="G140" i="1"/>
  <c r="G141" i="1" s="1"/>
  <c r="D137" i="1"/>
  <c r="D140" i="1"/>
  <c r="D141" i="1" s="1"/>
  <c r="E140" i="1"/>
  <c r="E141" i="1" s="1"/>
  <c r="E137" i="1"/>
  <c r="L38" i="7"/>
  <c r="H141" i="1" l="1"/>
  <c r="J131" i="1"/>
  <c r="I137" i="1"/>
  <c r="I139" i="1" s="1"/>
  <c r="J139" i="1" s="1"/>
  <c r="M41" i="39"/>
  <c r="H41" i="39"/>
  <c r="I140" i="1" l="1"/>
  <c r="I141" i="1"/>
  <c r="J135" i="1"/>
  <c r="J140" i="1" s="1"/>
  <c r="J141" i="1" s="1"/>
  <c r="J137" i="1"/>
  <c r="B48" i="39"/>
  <c r="K13" i="39"/>
  <c r="D96" i="1"/>
  <c r="D51" i="1"/>
  <c r="J96" i="1" l="1"/>
  <c r="K37" i="125"/>
  <c r="I97" i="1"/>
  <c r="H97" i="1"/>
  <c r="E97" i="1"/>
  <c r="I26" i="1"/>
  <c r="E26" i="1"/>
  <c r="E227" i="1" l="1"/>
  <c r="J242" i="1"/>
  <c r="J244" i="1"/>
  <c r="I53" i="1"/>
  <c r="D53" i="1"/>
  <c r="D227" i="1" s="1"/>
  <c r="H53" i="1"/>
  <c r="H227" i="1" s="1"/>
  <c r="G53" i="1"/>
  <c r="G227" i="1" s="1"/>
  <c r="H31" i="74" l="1"/>
  <c r="L31" i="74"/>
  <c r="L30" i="74" l="1"/>
  <c r="H30" i="74"/>
  <c r="B45" i="55" l="1"/>
  <c r="K29" i="55"/>
  <c r="K55" i="125" l="1"/>
  <c r="K57" i="125" s="1"/>
  <c r="J55" i="125"/>
  <c r="J57" i="125" s="1"/>
  <c r="L54" i="125"/>
  <c r="L53" i="125"/>
  <c r="C46" i="125"/>
  <c r="K39" i="125"/>
  <c r="G39" i="125"/>
  <c r="M37" i="125"/>
  <c r="M39" i="125" s="1"/>
  <c r="B45" i="125" s="1"/>
  <c r="L37" i="125"/>
  <c r="J37" i="125"/>
  <c r="J39" i="125" s="1"/>
  <c r="I37" i="125"/>
  <c r="I39" i="125" s="1"/>
  <c r="H37" i="125"/>
  <c r="G37" i="125"/>
  <c r="E37" i="125"/>
  <c r="E39" i="125" s="1"/>
  <c r="F36" i="125"/>
  <c r="F35" i="125"/>
  <c r="F34" i="125"/>
  <c r="F33" i="125"/>
  <c r="F32" i="125"/>
  <c r="F31" i="125"/>
  <c r="F30" i="125"/>
  <c r="F29" i="125"/>
  <c r="F28" i="125"/>
  <c r="F27" i="125"/>
  <c r="F26" i="125"/>
  <c r="F25" i="125"/>
  <c r="F24" i="125"/>
  <c r="F23" i="125"/>
  <c r="F22" i="125"/>
  <c r="O21" i="125"/>
  <c r="F21" i="125"/>
  <c r="M19" i="125"/>
  <c r="L19" i="125"/>
  <c r="L39" i="125" s="1"/>
  <c r="K19" i="125"/>
  <c r="J19" i="125"/>
  <c r="I19" i="125"/>
  <c r="H19" i="125"/>
  <c r="H39" i="125" s="1"/>
  <c r="G19" i="125"/>
  <c r="E19" i="125"/>
  <c r="D19" i="125"/>
  <c r="D39" i="125" s="1"/>
  <c r="F18" i="125"/>
  <c r="F17" i="125"/>
  <c r="F16" i="125"/>
  <c r="F15" i="125"/>
  <c r="F19" i="125" s="1"/>
  <c r="M13" i="125"/>
  <c r="L13" i="125"/>
  <c r="K13" i="125"/>
  <c r="J13" i="125"/>
  <c r="I13" i="125"/>
  <c r="H13" i="125"/>
  <c r="G13" i="125"/>
  <c r="E13" i="125"/>
  <c r="D13" i="125"/>
  <c r="F12" i="125"/>
  <c r="F11" i="125"/>
  <c r="F10" i="125"/>
  <c r="F9" i="125"/>
  <c r="O8" i="125"/>
  <c r="F8" i="125"/>
  <c r="F13" i="125" s="1"/>
  <c r="F7" i="125"/>
  <c r="H113" i="1"/>
  <c r="F37" i="125" l="1"/>
  <c r="F39" i="125" s="1"/>
  <c r="B44" i="125" s="1"/>
  <c r="B46" i="125" s="1"/>
  <c r="B55" i="125"/>
  <c r="B56" i="125" s="1"/>
  <c r="B57" i="125" s="1"/>
  <c r="B54" i="125"/>
  <c r="E40" i="125"/>
  <c r="B48" i="125" l="1"/>
  <c r="B49" i="125" s="1"/>
  <c r="F40" i="125"/>
  <c r="K35" i="7"/>
  <c r="K34" i="7"/>
  <c r="K18" i="7"/>
  <c r="K20" i="7"/>
  <c r="I70" i="1"/>
  <c r="I227" i="1" l="1"/>
  <c r="J70" i="1"/>
  <c r="J45" i="125"/>
  <c r="J46" i="125"/>
  <c r="K45" i="125"/>
  <c r="K2" i="1"/>
  <c r="F8" i="7"/>
  <c r="L46" i="125" l="1"/>
  <c r="I33" i="104"/>
  <c r="D33" i="104"/>
  <c r="I13" i="104"/>
  <c r="D13" i="104"/>
  <c r="K47" i="125"/>
  <c r="K49" i="125" s="1"/>
  <c r="L45" i="125"/>
  <c r="J47" i="125"/>
  <c r="J49" i="125" s="1"/>
  <c r="K19" i="120" l="1"/>
  <c r="F32" i="74" l="1"/>
  <c r="K31" i="74"/>
  <c r="F31" i="74" s="1"/>
  <c r="K30" i="74"/>
  <c r="F30" i="74" s="1"/>
  <c r="F29" i="74"/>
  <c r="K10" i="7" l="1"/>
  <c r="O47" i="104"/>
  <c r="F45" i="11" l="1"/>
  <c r="F31" i="10"/>
  <c r="F40" i="43"/>
  <c r="F33" i="48"/>
  <c r="F40" i="74"/>
  <c r="M44" i="14"/>
  <c r="F33" i="18"/>
  <c r="F32" i="18"/>
  <c r="D28" i="2"/>
  <c r="D27" i="2"/>
  <c r="E28" i="2"/>
  <c r="J46" i="31"/>
  <c r="J45" i="31"/>
  <c r="F38" i="31"/>
  <c r="F37" i="31"/>
  <c r="F36" i="31"/>
  <c r="F24" i="31"/>
  <c r="F32" i="45" l="1"/>
  <c r="F31" i="45"/>
  <c r="K43" i="45"/>
  <c r="I43" i="45"/>
  <c r="H43" i="45"/>
  <c r="G43" i="45"/>
  <c r="G42" i="45"/>
  <c r="C29" i="104" l="1"/>
  <c r="H29" i="104"/>
  <c r="G29" i="104"/>
  <c r="E29" i="104"/>
  <c r="K48" i="74"/>
  <c r="F40" i="9" l="1"/>
  <c r="J4" i="2" s="1"/>
  <c r="L45" i="14"/>
  <c r="F27" i="104" s="1"/>
  <c r="L44" i="14"/>
  <c r="F9" i="104" s="1"/>
  <c r="B54" i="108" l="1"/>
  <c r="F38" i="108"/>
  <c r="B44" i="44" l="1"/>
  <c r="F43" i="120" l="1"/>
  <c r="B48" i="115" l="1"/>
  <c r="F37" i="11"/>
  <c r="F36" i="11"/>
  <c r="F35" i="11"/>
  <c r="F34" i="11"/>
  <c r="F33" i="11"/>
  <c r="F31" i="11"/>
  <c r="F31" i="43"/>
  <c r="F30" i="43"/>
  <c r="F29" i="43"/>
  <c r="F25" i="43"/>
  <c r="B52" i="55"/>
  <c r="B54" i="54"/>
  <c r="B55" i="54" s="1"/>
  <c r="B56" i="54" s="1"/>
  <c r="B53" i="54"/>
  <c r="F18" i="121"/>
  <c r="F18" i="120"/>
  <c r="B64" i="37" l="1"/>
  <c r="B42" i="36"/>
  <c r="J55" i="28" l="1"/>
  <c r="I55" i="28"/>
  <c r="J54" i="28"/>
  <c r="I54" i="28"/>
  <c r="H54" i="28"/>
  <c r="H55" i="28"/>
  <c r="B59" i="21" l="1"/>
  <c r="B54" i="9" l="1"/>
  <c r="B55" i="9" s="1"/>
  <c r="B56" i="9" s="1"/>
  <c r="B53" i="9"/>
  <c r="K28" i="2" l="1"/>
  <c r="L28" i="2" s="1"/>
  <c r="K27" i="2"/>
  <c r="L27" i="2" s="1"/>
  <c r="G171" i="1" l="1"/>
  <c r="F171" i="1"/>
  <c r="D171" i="1"/>
  <c r="F23" i="58"/>
  <c r="F22" i="58"/>
  <c r="F21" i="58"/>
  <c r="F20" i="58"/>
  <c r="I16" i="58"/>
  <c r="I15" i="58"/>
  <c r="I14" i="58"/>
  <c r="I13" i="58"/>
  <c r="E23" i="58"/>
  <c r="E22" i="58"/>
  <c r="E21" i="58"/>
  <c r="E20" i="58"/>
  <c r="B56" i="29" l="1"/>
  <c r="B57" i="29" s="1"/>
  <c r="B58" i="29" s="1"/>
  <c r="B55" i="29"/>
  <c r="C8" i="2" l="1"/>
  <c r="F29" i="54" l="1"/>
  <c r="F20" i="14" l="1"/>
  <c r="B46" i="14"/>
  <c r="C46" i="14"/>
  <c r="F13" i="40" l="1"/>
  <c r="F24" i="40" l="1"/>
  <c r="F16" i="28"/>
  <c r="F15" i="28"/>
  <c r="E35" i="44"/>
  <c r="M35" i="44"/>
  <c r="L35" i="44"/>
  <c r="K35" i="44"/>
  <c r="J35" i="44"/>
  <c r="I35" i="44"/>
  <c r="G35" i="44"/>
  <c r="J31" i="36" l="1"/>
  <c r="K30" i="36"/>
  <c r="K25" i="36"/>
  <c r="J19" i="36"/>
  <c r="F23" i="121" l="1"/>
  <c r="F17" i="121"/>
  <c r="F21" i="55" l="1"/>
  <c r="F20" i="55"/>
  <c r="F19" i="55"/>
  <c r="F18" i="55"/>
  <c r="F17" i="55"/>
  <c r="L50" i="14" l="1"/>
  <c r="M51" i="14"/>
  <c r="M50" i="14"/>
  <c r="L51" i="14"/>
  <c r="J51" i="14"/>
  <c r="J50" i="14"/>
  <c r="F19" i="59"/>
  <c r="K24" i="121"/>
  <c r="E24" i="121"/>
  <c r="B207" i="1"/>
  <c r="J83" i="1" l="1"/>
  <c r="J12" i="1"/>
  <c r="J86" i="1" l="1"/>
  <c r="N47" i="104" l="1"/>
  <c r="M47" i="104"/>
  <c r="L47" i="104"/>
  <c r="K30" i="54" l="1"/>
  <c r="J30" i="54"/>
  <c r="C48" i="55" l="1"/>
  <c r="B48" i="55"/>
  <c r="F28" i="55"/>
  <c r="F15" i="43" l="1"/>
  <c r="L50" i="48" l="1"/>
  <c r="L49" i="48"/>
  <c r="J46" i="22" l="1"/>
  <c r="I46" i="22"/>
  <c r="G46" i="22"/>
  <c r="E38" i="16"/>
  <c r="F37" i="16"/>
  <c r="F36" i="16"/>
  <c r="F35" i="16"/>
  <c r="F34" i="16"/>
  <c r="F33" i="16"/>
  <c r="F32" i="16"/>
  <c r="F31" i="16"/>
  <c r="F30" i="16"/>
  <c r="F29" i="16"/>
  <c r="F28" i="16"/>
  <c r="F27" i="16"/>
  <c r="F26" i="16"/>
  <c r="F25" i="16"/>
  <c r="F24" i="16"/>
  <c r="F30" i="44" l="1"/>
  <c r="I45" i="31" l="1"/>
  <c r="F37" i="109"/>
  <c r="F36" i="109"/>
  <c r="F24" i="109"/>
  <c r="K51" i="48" l="1"/>
  <c r="K53" i="48" s="1"/>
  <c r="J51" i="48"/>
  <c r="J53" i="48" s="1"/>
  <c r="C33" i="104" l="1"/>
  <c r="C13" i="104"/>
  <c r="J33" i="104"/>
  <c r="H33" i="104"/>
  <c r="G33" i="104"/>
  <c r="F33" i="104"/>
  <c r="E33" i="104"/>
  <c r="K33" i="104" l="1"/>
  <c r="L33" i="104" l="1"/>
  <c r="M33" i="104"/>
  <c r="J52" i="14"/>
  <c r="L52" i="14"/>
  <c r="M52" i="14"/>
  <c r="F19" i="11" l="1"/>
  <c r="F19" i="14" l="1"/>
  <c r="F18" i="14"/>
  <c r="C54" i="11" l="1"/>
  <c r="B54" i="11"/>
  <c r="M46" i="11"/>
  <c r="L46" i="11"/>
  <c r="J46" i="11"/>
  <c r="I46" i="11"/>
  <c r="H46" i="11"/>
  <c r="G46" i="11"/>
  <c r="E46" i="11"/>
  <c r="K46" i="11"/>
  <c r="F44" i="11"/>
  <c r="F43" i="11"/>
  <c r="F42" i="11"/>
  <c r="F41" i="11"/>
  <c r="F40" i="11"/>
  <c r="F39" i="11"/>
  <c r="F38" i="11"/>
  <c r="F30" i="11"/>
  <c r="F29" i="11"/>
  <c r="F28" i="11"/>
  <c r="F27" i="11"/>
  <c r="F26" i="11"/>
  <c r="F25" i="11"/>
  <c r="M23" i="11"/>
  <c r="L23" i="11"/>
  <c r="K23" i="11"/>
  <c r="J23" i="11"/>
  <c r="I23" i="11"/>
  <c r="H23" i="11"/>
  <c r="G23" i="11"/>
  <c r="E23" i="11"/>
  <c r="F22" i="11"/>
  <c r="F21" i="11"/>
  <c r="F20" i="11"/>
  <c r="F18" i="11"/>
  <c r="M16" i="11"/>
  <c r="L16" i="11"/>
  <c r="K16" i="11"/>
  <c r="J16" i="11"/>
  <c r="I16" i="11"/>
  <c r="H16" i="11"/>
  <c r="G16" i="11"/>
  <c r="E16" i="11"/>
  <c r="D16" i="11"/>
  <c r="D48" i="11" s="1"/>
  <c r="F15" i="11"/>
  <c r="F14" i="11"/>
  <c r="F13" i="11"/>
  <c r="F12" i="11"/>
  <c r="F11" i="11"/>
  <c r="F10" i="11"/>
  <c r="F9" i="11"/>
  <c r="F8" i="11"/>
  <c r="F7" i="11"/>
  <c r="J48" i="11" l="1"/>
  <c r="M48" i="11"/>
  <c r="I48" i="11"/>
  <c r="H48" i="11"/>
  <c r="F23" i="11"/>
  <c r="G48" i="11"/>
  <c r="L48" i="11"/>
  <c r="F16" i="11"/>
  <c r="K48" i="11"/>
  <c r="E48" i="11"/>
  <c r="B60" i="11" s="1"/>
  <c r="F46" i="11"/>
  <c r="E49" i="11" l="1"/>
  <c r="F48" i="11"/>
  <c r="B61" i="11" s="1"/>
  <c r="B62" i="11" s="1"/>
  <c r="B63" i="11" s="1"/>
  <c r="C40" i="10"/>
  <c r="B40" i="10"/>
  <c r="M32" i="10"/>
  <c r="M34" i="10" s="1"/>
  <c r="L32" i="10"/>
  <c r="L34" i="10" s="1"/>
  <c r="K32" i="10"/>
  <c r="J32" i="10"/>
  <c r="J34" i="10" s="1"/>
  <c r="I32" i="10"/>
  <c r="I34" i="10" s="1"/>
  <c r="H32" i="10"/>
  <c r="H34" i="10" s="1"/>
  <c r="G32" i="10"/>
  <c r="E32" i="10"/>
  <c r="F30" i="10"/>
  <c r="F29" i="10"/>
  <c r="F28" i="10"/>
  <c r="F27" i="10"/>
  <c r="F26" i="10"/>
  <c r="F25" i="10"/>
  <c r="F24" i="10"/>
  <c r="F23" i="10"/>
  <c r="F22" i="10"/>
  <c r="F21" i="10"/>
  <c r="F20" i="10"/>
  <c r="F19" i="10"/>
  <c r="F18" i="10"/>
  <c r="M16" i="10"/>
  <c r="L16" i="10"/>
  <c r="K16" i="10"/>
  <c r="J16" i="10"/>
  <c r="I16" i="10"/>
  <c r="H16" i="10"/>
  <c r="G16" i="10"/>
  <c r="E16" i="10"/>
  <c r="D16" i="10"/>
  <c r="F15" i="10"/>
  <c r="F14" i="10"/>
  <c r="F13" i="10"/>
  <c r="M11" i="10"/>
  <c r="L11" i="10"/>
  <c r="K11" i="10"/>
  <c r="J11" i="10"/>
  <c r="I11" i="10"/>
  <c r="H11" i="10"/>
  <c r="G11" i="10"/>
  <c r="E11" i="10"/>
  <c r="D11" i="10"/>
  <c r="F10" i="10"/>
  <c r="F9" i="10"/>
  <c r="F8" i="10"/>
  <c r="F7" i="10"/>
  <c r="F49" i="11" l="1"/>
  <c r="F11" i="10"/>
  <c r="D34" i="10"/>
  <c r="G34" i="10"/>
  <c r="K34" i="10"/>
  <c r="E34" i="10"/>
  <c r="B46" i="10" s="1"/>
  <c r="F32" i="10"/>
  <c r="F34" i="10" s="1"/>
  <c r="B47" i="10" s="1"/>
  <c r="B48" i="10" s="1"/>
  <c r="B49" i="10" s="1"/>
  <c r="F16" i="10"/>
  <c r="F35" i="10" l="1"/>
  <c r="E35" i="10"/>
  <c r="F12" i="54"/>
  <c r="F11" i="54"/>
  <c r="F16" i="121" l="1"/>
  <c r="H13" i="104" l="1"/>
  <c r="F13" i="104"/>
  <c r="J13" i="104"/>
  <c r="G13" i="104"/>
  <c r="E13" i="104"/>
  <c r="K13" i="104" l="1"/>
  <c r="L13" i="104" s="1"/>
  <c r="J51" i="21"/>
  <c r="I51" i="21"/>
  <c r="H51" i="21"/>
  <c r="F46" i="21"/>
  <c r="F10" i="21"/>
  <c r="F9" i="21"/>
  <c r="F8" i="21"/>
  <c r="F44" i="21" s="1"/>
  <c r="F7" i="21"/>
  <c r="F43" i="21" s="1"/>
  <c r="L11" i="36" l="1"/>
  <c r="L22" i="44" l="1"/>
  <c r="F36" i="52" l="1"/>
  <c r="E16" i="109"/>
  <c r="E39" i="31"/>
  <c r="C51" i="3" l="1"/>
  <c r="E52" i="3" s="1"/>
  <c r="F52" i="3" l="1"/>
  <c r="G52" i="3"/>
  <c r="D52" i="3"/>
  <c r="I51" i="3"/>
  <c r="J273" i="1"/>
  <c r="F7" i="33" l="1"/>
  <c r="F7" i="32"/>
  <c r="J272" i="1" l="1"/>
  <c r="J271" i="1"/>
  <c r="J268" i="1" l="1"/>
  <c r="G51" i="21" l="1"/>
  <c r="F50" i="21"/>
  <c r="F23" i="21"/>
  <c r="J270" i="1" l="1"/>
  <c r="J269" i="1"/>
  <c r="J267" i="1" l="1"/>
  <c r="J265" i="1" l="1"/>
  <c r="K48" i="21"/>
  <c r="K48" i="104" l="1"/>
  <c r="K47" i="104"/>
  <c r="F44" i="40" l="1"/>
  <c r="F35" i="31"/>
  <c r="F34" i="31"/>
  <c r="F33" i="31"/>
  <c r="F32" i="31"/>
  <c r="F31" i="31"/>
  <c r="F30" i="31"/>
  <c r="F29" i="31"/>
  <c r="F28" i="31"/>
  <c r="F27" i="31"/>
  <c r="F26" i="31"/>
  <c r="F25" i="31"/>
  <c r="F21" i="31"/>
  <c r="F20" i="31"/>
  <c r="F19" i="31"/>
  <c r="F18" i="31"/>
  <c r="F15" i="31"/>
  <c r="F14" i="31"/>
  <c r="F13" i="31"/>
  <c r="F12" i="31"/>
  <c r="F11" i="31"/>
  <c r="F10" i="31"/>
  <c r="F9" i="31"/>
  <c r="F8" i="31"/>
  <c r="M39" i="109" l="1"/>
  <c r="L39" i="109"/>
  <c r="K39" i="109"/>
  <c r="J39" i="109"/>
  <c r="I39" i="109"/>
  <c r="H39" i="109"/>
  <c r="G39" i="109"/>
  <c r="E39" i="109"/>
  <c r="F38" i="109"/>
  <c r="J255" i="1" l="1"/>
  <c r="J252" i="1" l="1"/>
  <c r="C206" i="1" l="1"/>
  <c r="F41" i="29" l="1"/>
  <c r="L35" i="59"/>
  <c r="L34" i="59"/>
  <c r="L29" i="59"/>
  <c r="L27" i="59"/>
  <c r="L23" i="59"/>
  <c r="J251" i="1" l="1"/>
  <c r="J243" i="1" l="1"/>
  <c r="L17" i="6" l="1"/>
  <c r="J241" i="1" l="1"/>
  <c r="B50" i="39" l="1"/>
  <c r="C50" i="39"/>
  <c r="F8" i="36" l="1"/>
  <c r="F17" i="28" l="1"/>
  <c r="F14" i="28"/>
  <c r="F13" i="28"/>
  <c r="F12" i="28"/>
  <c r="F11" i="28"/>
  <c r="F10" i="28"/>
  <c r="F9" i="28"/>
  <c r="F8" i="28"/>
  <c r="F7" i="28"/>
  <c r="F18" i="28"/>
  <c r="F31" i="122" l="1"/>
  <c r="M30" i="122"/>
  <c r="K30" i="122"/>
  <c r="J30" i="122"/>
  <c r="I30" i="122"/>
  <c r="H30" i="122"/>
  <c r="G30" i="122"/>
  <c r="E30" i="122"/>
  <c r="F29" i="122"/>
  <c r="F28" i="122"/>
  <c r="F27" i="122"/>
  <c r="F26" i="122"/>
  <c r="F25" i="122"/>
  <c r="L24" i="122"/>
  <c r="L30" i="122" s="1"/>
  <c r="F24" i="122"/>
  <c r="F23" i="122"/>
  <c r="F22" i="122"/>
  <c r="F21" i="122"/>
  <c r="F20" i="122"/>
  <c r="F19" i="122"/>
  <c r="F18" i="122"/>
  <c r="F17" i="122"/>
  <c r="F16" i="122"/>
  <c r="M14" i="122"/>
  <c r="L14" i="122"/>
  <c r="K14" i="122"/>
  <c r="J14" i="122"/>
  <c r="I14" i="122"/>
  <c r="H14" i="122"/>
  <c r="G14" i="122"/>
  <c r="E14" i="122"/>
  <c r="D14" i="122"/>
  <c r="D32" i="122" s="1"/>
  <c r="F13" i="122"/>
  <c r="F12" i="122"/>
  <c r="F11" i="122"/>
  <c r="F10" i="122"/>
  <c r="M8" i="122"/>
  <c r="L8" i="122"/>
  <c r="K8" i="122"/>
  <c r="J8" i="122"/>
  <c r="I8" i="122"/>
  <c r="H8" i="122"/>
  <c r="H32" i="122" s="1"/>
  <c r="F24" i="104" s="1"/>
  <c r="G8" i="122"/>
  <c r="G32" i="122" s="1"/>
  <c r="E24" i="104" s="1"/>
  <c r="E8" i="122"/>
  <c r="F7" i="122"/>
  <c r="F8" i="122" s="1"/>
  <c r="F31" i="36"/>
  <c r="F32" i="36"/>
  <c r="F14" i="122" l="1"/>
  <c r="F30" i="122"/>
  <c r="F32" i="122" s="1"/>
  <c r="J32" i="122"/>
  <c r="H24" i="104" s="1"/>
  <c r="L32" i="122"/>
  <c r="J24" i="104" s="1"/>
  <c r="M32" i="122"/>
  <c r="I32" i="122"/>
  <c r="G24" i="104" s="1"/>
  <c r="K32" i="122"/>
  <c r="I24" i="104" s="1"/>
  <c r="E32" i="122"/>
  <c r="D24" i="104" l="1"/>
  <c r="B40" i="122"/>
  <c r="C24" i="104"/>
  <c r="B39" i="122"/>
  <c r="K24" i="104"/>
  <c r="L24" i="104" s="1"/>
  <c r="C47" i="59"/>
  <c r="F39" i="59"/>
  <c r="M38" i="59"/>
  <c r="L38" i="59"/>
  <c r="K38" i="59"/>
  <c r="J38" i="59"/>
  <c r="I38" i="59"/>
  <c r="H38" i="59"/>
  <c r="G38" i="59"/>
  <c r="E38" i="59"/>
  <c r="F37" i="59"/>
  <c r="F36" i="59"/>
  <c r="F35" i="59"/>
  <c r="F34" i="59"/>
  <c r="F33" i="59"/>
  <c r="F32" i="59"/>
  <c r="F31" i="59"/>
  <c r="F30" i="59"/>
  <c r="F29" i="59"/>
  <c r="F28" i="59"/>
  <c r="F27" i="59"/>
  <c r="F26" i="59"/>
  <c r="F25" i="59"/>
  <c r="F24" i="59"/>
  <c r="F23" i="59"/>
  <c r="M21" i="59"/>
  <c r="L21" i="59"/>
  <c r="K21" i="59"/>
  <c r="J21" i="59"/>
  <c r="I21" i="59"/>
  <c r="H21" i="59"/>
  <c r="G21" i="59"/>
  <c r="E21" i="59"/>
  <c r="D21" i="59"/>
  <c r="F20" i="59"/>
  <c r="F18" i="59"/>
  <c r="F17" i="59"/>
  <c r="F16" i="59"/>
  <c r="F15" i="59"/>
  <c r="M13" i="59"/>
  <c r="L13" i="59"/>
  <c r="K13" i="59"/>
  <c r="J13" i="59"/>
  <c r="I13" i="59"/>
  <c r="H13" i="59"/>
  <c r="G13" i="59"/>
  <c r="E13" i="59"/>
  <c r="D13" i="59"/>
  <c r="F12" i="59"/>
  <c r="F11" i="59"/>
  <c r="F10" i="59"/>
  <c r="F9" i="59"/>
  <c r="F8" i="59"/>
  <c r="F7" i="59"/>
  <c r="C52" i="121"/>
  <c r="B52" i="121"/>
  <c r="M43" i="121"/>
  <c r="L43" i="121"/>
  <c r="K43" i="121"/>
  <c r="J43" i="121"/>
  <c r="I43" i="121"/>
  <c r="H43" i="121"/>
  <c r="G43" i="121"/>
  <c r="E43" i="121"/>
  <c r="F42" i="121"/>
  <c r="F41" i="121"/>
  <c r="F40" i="121"/>
  <c r="F39" i="121"/>
  <c r="F38" i="121"/>
  <c r="F37" i="121"/>
  <c r="F36" i="121"/>
  <c r="F35" i="121"/>
  <c r="F34" i="121"/>
  <c r="F33" i="121"/>
  <c r="F32" i="121"/>
  <c r="F31" i="121"/>
  <c r="F30" i="121"/>
  <c r="F29" i="121"/>
  <c r="F28" i="121"/>
  <c r="F27" i="121"/>
  <c r="F26" i="121"/>
  <c r="L24" i="121"/>
  <c r="D24" i="121"/>
  <c r="M24" i="121"/>
  <c r="J24" i="121"/>
  <c r="H24" i="121"/>
  <c r="G24" i="121"/>
  <c r="M13" i="121"/>
  <c r="L13" i="121"/>
  <c r="K13" i="121"/>
  <c r="J13" i="121"/>
  <c r="I13" i="121"/>
  <c r="H13" i="121"/>
  <c r="G13" i="121"/>
  <c r="E13" i="121"/>
  <c r="D13" i="121"/>
  <c r="F12" i="121"/>
  <c r="F11" i="121"/>
  <c r="F10" i="121"/>
  <c r="F9" i="121"/>
  <c r="F8" i="121"/>
  <c r="F27" i="38"/>
  <c r="B41" i="122" l="1"/>
  <c r="B42" i="122" s="1"/>
  <c r="K45" i="121"/>
  <c r="I55" i="2" s="1"/>
  <c r="D40" i="59"/>
  <c r="H40" i="59"/>
  <c r="L40" i="59"/>
  <c r="I40" i="59"/>
  <c r="L45" i="121"/>
  <c r="J55" i="2" s="1"/>
  <c r="F21" i="59"/>
  <c r="M40" i="59"/>
  <c r="F15" i="121"/>
  <c r="F24" i="121" s="1"/>
  <c r="F43" i="121"/>
  <c r="M45" i="121"/>
  <c r="F13" i="59"/>
  <c r="E40" i="59"/>
  <c r="J40" i="59"/>
  <c r="F13" i="121"/>
  <c r="J45" i="121"/>
  <c r="H55" i="2" s="1"/>
  <c r="E45" i="121"/>
  <c r="B59" i="121" s="1"/>
  <c r="F38" i="59"/>
  <c r="G40" i="59"/>
  <c r="K40" i="59"/>
  <c r="H45" i="121"/>
  <c r="F55" i="2" s="1"/>
  <c r="G45" i="121"/>
  <c r="E55" i="2" s="1"/>
  <c r="I24" i="121"/>
  <c r="I45" i="121" s="1"/>
  <c r="G55" i="2" s="1"/>
  <c r="N51" i="14"/>
  <c r="N50" i="14"/>
  <c r="E46" i="121" l="1"/>
  <c r="E41" i="59"/>
  <c r="B54" i="59"/>
  <c r="B46" i="59"/>
  <c r="B47" i="59" s="1"/>
  <c r="K55" i="2"/>
  <c r="F40" i="59"/>
  <c r="F45" i="121"/>
  <c r="B60" i="121" s="1"/>
  <c r="B61" i="121" s="1"/>
  <c r="B62" i="121" s="1"/>
  <c r="J47" i="104"/>
  <c r="C54" i="2" l="1"/>
  <c r="E47" i="121"/>
  <c r="C54" i="121" s="1"/>
  <c r="F41" i="59"/>
  <c r="B55" i="59"/>
  <c r="B56" i="59" s="1"/>
  <c r="B57" i="59" s="1"/>
  <c r="F46" i="121"/>
  <c r="I54" i="2" l="1"/>
  <c r="D54" i="2" s="1"/>
  <c r="F47" i="121"/>
  <c r="B54" i="121" s="1"/>
  <c r="E48" i="37"/>
  <c r="E49" i="37"/>
  <c r="J49" i="37"/>
  <c r="J48" i="37"/>
  <c r="H49" i="37"/>
  <c r="H48" i="37"/>
  <c r="H51" i="37" s="1"/>
  <c r="E51" i="37"/>
  <c r="K54" i="2" l="1"/>
  <c r="L54" i="2" s="1"/>
  <c r="J51" i="37"/>
  <c r="F32" i="6"/>
  <c r="F33" i="6"/>
  <c r="E22" i="14"/>
  <c r="C49" i="43"/>
  <c r="F22" i="14" l="1"/>
  <c r="F30" i="25" l="1"/>
  <c r="C48" i="48" l="1"/>
  <c r="G51" i="25"/>
  <c r="H47" i="25" s="1"/>
  <c r="D60" i="2"/>
  <c r="C40" i="2"/>
  <c r="K67" i="28"/>
  <c r="C23" i="2"/>
  <c r="C34" i="104"/>
  <c r="C14" i="104"/>
  <c r="C27" i="104"/>
  <c r="E22" i="115"/>
  <c r="H48" i="25" l="1"/>
  <c r="H49" i="25"/>
  <c r="H50" i="25"/>
  <c r="E35" i="52" l="1"/>
  <c r="E18" i="39"/>
  <c r="E17" i="36" l="1"/>
  <c r="C7" i="2" l="1"/>
  <c r="C21" i="2"/>
  <c r="C4" i="2"/>
  <c r="E47" i="9"/>
  <c r="I48" i="104"/>
  <c r="B6" i="1" l="1"/>
  <c r="B7" i="1" s="1"/>
  <c r="I24" i="58" l="1"/>
  <c r="E24" i="58" l="1"/>
  <c r="J37" i="32" l="1"/>
  <c r="E172" i="1" l="1"/>
  <c r="G21" i="58"/>
  <c r="I17" i="58"/>
  <c r="G172" i="1"/>
  <c r="G23" i="58"/>
  <c r="F172" i="1"/>
  <c r="G22" i="58"/>
  <c r="F43" i="39"/>
  <c r="H43" i="39" s="1"/>
  <c r="H45" i="39" s="1"/>
  <c r="F174" i="1" l="1"/>
  <c r="F183" i="1" s="1"/>
  <c r="F184" i="1" s="1"/>
  <c r="E174" i="1"/>
  <c r="E183" i="1" s="1"/>
  <c r="E184" i="1" s="1"/>
  <c r="G174" i="1"/>
  <c r="G183" i="1" s="1"/>
  <c r="G184" i="1" s="1"/>
  <c r="D172" i="1"/>
  <c r="F24" i="58"/>
  <c r="G24" i="58" s="1"/>
  <c r="G20" i="58"/>
  <c r="I43" i="39"/>
  <c r="I45" i="39" s="1"/>
  <c r="J43" i="39"/>
  <c r="J45" i="39" s="1"/>
  <c r="G43" i="39"/>
  <c r="G45" i="39" s="1"/>
  <c r="C225" i="1"/>
  <c r="J266" i="1"/>
  <c r="C172" i="1" l="1"/>
  <c r="C217" i="1" s="1"/>
  <c r="D174" i="1"/>
  <c r="D183" i="1" s="1"/>
  <c r="D184" i="1" s="1"/>
  <c r="J256" i="1"/>
  <c r="J200" i="1" l="1"/>
  <c r="G10" i="1" l="1"/>
  <c r="F10" i="1"/>
  <c r="E10" i="1"/>
  <c r="D10" i="1"/>
  <c r="J177" i="1" l="1"/>
  <c r="J183" i="1"/>
  <c r="J42" i="1"/>
  <c r="J225" i="1" s="1"/>
  <c r="J15" i="1"/>
  <c r="G81" i="1"/>
  <c r="F81" i="1"/>
  <c r="E81" i="1"/>
  <c r="D81" i="1"/>
  <c r="I111" i="1" l="1"/>
  <c r="J250" i="1"/>
  <c r="J111" i="1" l="1"/>
  <c r="J48" i="1"/>
  <c r="J47" i="1"/>
  <c r="J24" i="1"/>
  <c r="I276" i="1" l="1"/>
  <c r="H276" i="1"/>
  <c r="G276" i="1"/>
  <c r="F276" i="1"/>
  <c r="E276" i="1"/>
  <c r="D276" i="1"/>
  <c r="C276" i="1"/>
  <c r="J240" i="1"/>
  <c r="H13" i="39" l="1"/>
  <c r="F35" i="48" l="1"/>
  <c r="D62" i="2" l="1"/>
  <c r="F34" i="120"/>
  <c r="F33" i="120"/>
  <c r="F32" i="120"/>
  <c r="F31" i="120"/>
  <c r="F30" i="120"/>
  <c r="F29" i="120"/>
  <c r="F28" i="120"/>
  <c r="F27" i="120"/>
  <c r="F26" i="120"/>
  <c r="F25" i="120"/>
  <c r="F24" i="120"/>
  <c r="F23" i="120"/>
  <c r="F36" i="120" s="1"/>
  <c r="L48" i="120"/>
  <c r="J62" i="2" s="1"/>
  <c r="J48" i="120"/>
  <c r="H62" i="2" s="1"/>
  <c r="I48" i="120"/>
  <c r="I49" i="120" s="1"/>
  <c r="H48" i="120"/>
  <c r="F62" i="2" s="1"/>
  <c r="K47" i="120"/>
  <c r="K48" i="120" s="1"/>
  <c r="I62" i="2" s="1"/>
  <c r="F37" i="120"/>
  <c r="M36" i="120"/>
  <c r="L36" i="120"/>
  <c r="K36" i="120"/>
  <c r="J36" i="120"/>
  <c r="I36" i="120"/>
  <c r="H36" i="120"/>
  <c r="G36" i="120"/>
  <c r="E36" i="120"/>
  <c r="F35" i="120"/>
  <c r="F45" i="120"/>
  <c r="M45" i="120" s="1"/>
  <c r="M21" i="120"/>
  <c r="M38" i="120" s="1"/>
  <c r="L21" i="120"/>
  <c r="K21" i="120"/>
  <c r="J21" i="120"/>
  <c r="I21" i="120"/>
  <c r="H21" i="120"/>
  <c r="G21" i="120"/>
  <c r="E21" i="120"/>
  <c r="D21" i="120"/>
  <c r="F20" i="120"/>
  <c r="F19" i="120"/>
  <c r="F17" i="120"/>
  <c r="F42" i="120" s="1"/>
  <c r="G42" i="120" s="1"/>
  <c r="G48" i="120" s="1"/>
  <c r="E62" i="2" s="1"/>
  <c r="M15" i="120"/>
  <c r="L15" i="120"/>
  <c r="K15" i="120"/>
  <c r="J15" i="120"/>
  <c r="I15" i="120"/>
  <c r="H15" i="120"/>
  <c r="G15" i="120"/>
  <c r="E15" i="120"/>
  <c r="D15" i="120"/>
  <c r="F14" i="120"/>
  <c r="F13" i="120"/>
  <c r="F12" i="120"/>
  <c r="F11" i="120"/>
  <c r="F10" i="120"/>
  <c r="F46" i="120" s="1"/>
  <c r="M46" i="120" s="1"/>
  <c r="F9" i="120"/>
  <c r="F8" i="120"/>
  <c r="M43" i="120" s="1"/>
  <c r="F7" i="120"/>
  <c r="M44" i="120" l="1"/>
  <c r="J38" i="120"/>
  <c r="J49" i="120" s="1"/>
  <c r="G62" i="2"/>
  <c r="K62" i="2" s="1"/>
  <c r="I38" i="120"/>
  <c r="G61" i="2" s="1"/>
  <c r="H61" i="2"/>
  <c r="G38" i="120"/>
  <c r="K38" i="120"/>
  <c r="I61" i="2" s="1"/>
  <c r="F21" i="120"/>
  <c r="E38" i="120"/>
  <c r="C61" i="2" s="1"/>
  <c r="L38" i="120"/>
  <c r="K49" i="120"/>
  <c r="H38" i="120"/>
  <c r="D38" i="120"/>
  <c r="F48" i="120"/>
  <c r="D61" i="2" s="1"/>
  <c r="M42" i="120"/>
  <c r="M48" i="120" s="1"/>
  <c r="M49" i="120" s="1"/>
  <c r="F15" i="120"/>
  <c r="G49" i="120" l="1"/>
  <c r="E61" i="2"/>
  <c r="F38" i="120"/>
  <c r="H49" i="120"/>
  <c r="F61" i="2"/>
  <c r="L49" i="120"/>
  <c r="J61" i="2"/>
  <c r="K61" i="2" s="1"/>
  <c r="L61" i="2" s="1"/>
  <c r="H47" i="104"/>
  <c r="I47" i="104" l="1"/>
  <c r="F19" i="21" l="1"/>
  <c r="F49" i="21" s="1"/>
  <c r="I52" i="21"/>
  <c r="C59" i="2" l="1"/>
  <c r="C63" i="2" s="1"/>
  <c r="J85" i="1" l="1"/>
  <c r="J239" i="1" l="1"/>
  <c r="J276" i="1" s="1"/>
  <c r="F30" i="109" l="1"/>
  <c r="I48" i="31" l="1"/>
  <c r="J48" i="31"/>
  <c r="F37" i="17" l="1"/>
  <c r="B205" i="1" l="1"/>
  <c r="B61" i="1"/>
  <c r="B63" i="1" s="1"/>
  <c r="B65" i="1" s="1"/>
  <c r="J67" i="1"/>
  <c r="J62" i="1"/>
  <c r="C61" i="1"/>
  <c r="C63" i="1" s="1"/>
  <c r="C71" i="1" s="1"/>
  <c r="C72" i="1" s="1"/>
  <c r="I65" i="1" l="1"/>
  <c r="I71" i="1" s="1"/>
  <c r="I72" i="1" s="1"/>
  <c r="J65" i="1" l="1"/>
  <c r="C65" i="1"/>
  <c r="J71" i="1" l="1"/>
  <c r="J72" i="1"/>
  <c r="E49" i="104" l="1"/>
  <c r="E47" i="104" s="1"/>
  <c r="M18" i="39" l="1"/>
  <c r="L18" i="39"/>
  <c r="K18" i="39"/>
  <c r="J18" i="39"/>
  <c r="I18" i="39"/>
  <c r="H18" i="39"/>
  <c r="G18" i="39"/>
  <c r="F13" i="39" l="1"/>
  <c r="B49" i="104" l="1"/>
  <c r="B47" i="104" s="1"/>
  <c r="C47" i="104"/>
  <c r="F25" i="39" l="1"/>
  <c r="C46" i="54" l="1"/>
  <c r="E16" i="38" l="1"/>
  <c r="F25" i="38"/>
  <c r="E22" i="38"/>
  <c r="E22" i="16" l="1"/>
  <c r="E40" i="16" s="1"/>
  <c r="B47" i="16" s="1"/>
  <c r="E18" i="18" l="1"/>
  <c r="F18" i="109" l="1"/>
  <c r="F29" i="109" l="1"/>
  <c r="F39" i="109" s="1"/>
  <c r="E33" i="36" l="1"/>
  <c r="F17" i="4" l="1"/>
  <c r="E20" i="4"/>
  <c r="E11" i="9" l="1"/>
  <c r="E15" i="58" l="1"/>
  <c r="D49" i="104" l="1"/>
  <c r="D48" i="104"/>
  <c r="D47" i="104" s="1"/>
  <c r="E22" i="117" l="1"/>
  <c r="F40" i="117"/>
  <c r="M39" i="117"/>
  <c r="M41" i="117" s="1"/>
  <c r="L39" i="117"/>
  <c r="L41" i="117" s="1"/>
  <c r="J18" i="104" s="1"/>
  <c r="K39" i="117"/>
  <c r="J39" i="117"/>
  <c r="I39" i="117"/>
  <c r="I41" i="117" s="1"/>
  <c r="G18" i="104" s="1"/>
  <c r="H39" i="117"/>
  <c r="H41" i="117" s="1"/>
  <c r="F18" i="104" s="1"/>
  <c r="G39" i="117"/>
  <c r="E39" i="117"/>
  <c r="F38" i="117"/>
  <c r="F37" i="117"/>
  <c r="F36" i="117"/>
  <c r="F35" i="117"/>
  <c r="F34" i="117"/>
  <c r="F33" i="117"/>
  <c r="F32" i="117"/>
  <c r="F31" i="117"/>
  <c r="F30" i="117"/>
  <c r="F29" i="117"/>
  <c r="F28" i="117"/>
  <c r="F27" i="117"/>
  <c r="F26" i="117"/>
  <c r="F25" i="117"/>
  <c r="F24" i="117"/>
  <c r="M22" i="117"/>
  <c r="L22" i="117"/>
  <c r="K22" i="117"/>
  <c r="J22" i="117"/>
  <c r="I22" i="117"/>
  <c r="H22" i="117"/>
  <c r="G22" i="117"/>
  <c r="D22" i="117"/>
  <c r="F21" i="117"/>
  <c r="F20" i="117"/>
  <c r="F19" i="117"/>
  <c r="F18" i="117"/>
  <c r="M16" i="117"/>
  <c r="L16" i="117"/>
  <c r="K16" i="117"/>
  <c r="J16" i="117"/>
  <c r="I16" i="117"/>
  <c r="H16" i="117"/>
  <c r="G16" i="117"/>
  <c r="D16" i="117"/>
  <c r="F15" i="117"/>
  <c r="F14" i="117"/>
  <c r="F13" i="117"/>
  <c r="F12" i="117"/>
  <c r="F11" i="117"/>
  <c r="F10" i="117"/>
  <c r="F9" i="117"/>
  <c r="F16" i="117" s="1"/>
  <c r="F8" i="117"/>
  <c r="F9" i="55"/>
  <c r="E22" i="116"/>
  <c r="F40" i="116"/>
  <c r="M39" i="116"/>
  <c r="L39" i="116"/>
  <c r="L41" i="116" s="1"/>
  <c r="J19" i="104" s="1"/>
  <c r="K39" i="116"/>
  <c r="K41" i="116" s="1"/>
  <c r="I19" i="104" s="1"/>
  <c r="J39" i="116"/>
  <c r="J41" i="116" s="1"/>
  <c r="H19" i="104" s="1"/>
  <c r="I39" i="116"/>
  <c r="H39" i="116"/>
  <c r="H41" i="116" s="1"/>
  <c r="F19" i="104" s="1"/>
  <c r="G39" i="116"/>
  <c r="G41" i="116" s="1"/>
  <c r="E19" i="104" s="1"/>
  <c r="E39" i="116"/>
  <c r="F38" i="116"/>
  <c r="F37" i="116"/>
  <c r="F36" i="116"/>
  <c r="F35" i="116"/>
  <c r="F34" i="116"/>
  <c r="F33" i="116"/>
  <c r="F32" i="116"/>
  <c r="F31" i="116"/>
  <c r="F30" i="116"/>
  <c r="F29" i="116"/>
  <c r="F28" i="116"/>
  <c r="F27" i="116"/>
  <c r="F26" i="116"/>
  <c r="F25" i="116"/>
  <c r="F24" i="116"/>
  <c r="M22" i="116"/>
  <c r="L22" i="116"/>
  <c r="K22" i="116"/>
  <c r="J22" i="116"/>
  <c r="I22" i="116"/>
  <c r="H22" i="116"/>
  <c r="G22" i="116"/>
  <c r="D22" i="116"/>
  <c r="F21" i="116"/>
  <c r="F20" i="116"/>
  <c r="F19" i="116"/>
  <c r="F18" i="116"/>
  <c r="M16" i="116"/>
  <c r="L16" i="116"/>
  <c r="K16" i="116"/>
  <c r="J16" i="116"/>
  <c r="I16" i="116"/>
  <c r="H16" i="116"/>
  <c r="G16" i="116"/>
  <c r="D16" i="116"/>
  <c r="F15" i="116"/>
  <c r="F14" i="116"/>
  <c r="F13" i="116"/>
  <c r="F12" i="116"/>
  <c r="F11" i="116"/>
  <c r="F10" i="116"/>
  <c r="F9" i="116"/>
  <c r="F8" i="116"/>
  <c r="E22" i="27"/>
  <c r="F40" i="115"/>
  <c r="M39" i="115"/>
  <c r="M41" i="115" s="1"/>
  <c r="L39" i="115"/>
  <c r="K39" i="115"/>
  <c r="K41" i="115" s="1"/>
  <c r="I17" i="104" s="1"/>
  <c r="J39" i="115"/>
  <c r="I39" i="115"/>
  <c r="I41" i="115" s="1"/>
  <c r="G17" i="104" s="1"/>
  <c r="H39" i="115"/>
  <c r="G39" i="115"/>
  <c r="G41" i="115" s="1"/>
  <c r="E17" i="104" s="1"/>
  <c r="E39" i="115"/>
  <c r="E41" i="115" s="1"/>
  <c r="F38" i="115"/>
  <c r="F37" i="115"/>
  <c r="F36" i="115"/>
  <c r="F35" i="115"/>
  <c r="F34" i="115"/>
  <c r="F33" i="115"/>
  <c r="F32" i="115"/>
  <c r="F31" i="115"/>
  <c r="F30" i="115"/>
  <c r="F29" i="115"/>
  <c r="F28" i="115"/>
  <c r="F27" i="115"/>
  <c r="F26" i="115"/>
  <c r="F25" i="115"/>
  <c r="F24" i="115"/>
  <c r="M22" i="115"/>
  <c r="L22" i="115"/>
  <c r="K22" i="115"/>
  <c r="J22" i="115"/>
  <c r="I22" i="115"/>
  <c r="H22" i="115"/>
  <c r="G22" i="115"/>
  <c r="D22" i="115"/>
  <c r="F21" i="115"/>
  <c r="F20" i="115"/>
  <c r="F19" i="115"/>
  <c r="F18" i="115"/>
  <c r="M16" i="115"/>
  <c r="L16" i="115"/>
  <c r="K16" i="115"/>
  <c r="J16" i="115"/>
  <c r="I16" i="115"/>
  <c r="H16" i="115"/>
  <c r="G16" i="115"/>
  <c r="D16" i="115"/>
  <c r="F15" i="115"/>
  <c r="F14" i="115"/>
  <c r="F13" i="115"/>
  <c r="F12" i="115"/>
  <c r="F11" i="115"/>
  <c r="F10" i="115"/>
  <c r="F9" i="115"/>
  <c r="F8" i="115"/>
  <c r="F16" i="115" s="1"/>
  <c r="F28" i="48"/>
  <c r="E16" i="7"/>
  <c r="L41" i="115" l="1"/>
  <c r="J17" i="104" s="1"/>
  <c r="C17" i="104"/>
  <c r="F16" i="116"/>
  <c r="F39" i="116"/>
  <c r="F41" i="116" s="1"/>
  <c r="D41" i="116"/>
  <c r="F22" i="116"/>
  <c r="J41" i="115"/>
  <c r="H17" i="104" s="1"/>
  <c r="I41" i="116"/>
  <c r="G19" i="104" s="1"/>
  <c r="K19" i="104" s="1"/>
  <c r="L19" i="104" s="1"/>
  <c r="M41" i="116"/>
  <c r="J41" i="117"/>
  <c r="H18" i="104" s="1"/>
  <c r="F22" i="117"/>
  <c r="D41" i="117"/>
  <c r="G41" i="117"/>
  <c r="E18" i="104" s="1"/>
  <c r="K41" i="117"/>
  <c r="I18" i="104" s="1"/>
  <c r="F39" i="117"/>
  <c r="F41" i="117" s="1"/>
  <c r="E41" i="117"/>
  <c r="E41" i="116"/>
  <c r="F39" i="115"/>
  <c r="D41" i="115"/>
  <c r="F22" i="115"/>
  <c r="H41" i="115"/>
  <c r="F17" i="104" s="1"/>
  <c r="C47" i="108"/>
  <c r="F10" i="6"/>
  <c r="F33" i="43"/>
  <c r="F8" i="43"/>
  <c r="F7" i="43"/>
  <c r="C48" i="29"/>
  <c r="C18" i="104" l="1"/>
  <c r="B48" i="117"/>
  <c r="D19" i="104"/>
  <c r="B49" i="116"/>
  <c r="D18" i="104"/>
  <c r="B49" i="117"/>
  <c r="B50" i="117" s="1"/>
  <c r="B51" i="117" s="1"/>
  <c r="C19" i="104"/>
  <c r="B48" i="116"/>
  <c r="K18" i="104"/>
  <c r="L18" i="104" s="1"/>
  <c r="K17" i="104"/>
  <c r="L17" i="104" s="1"/>
  <c r="F41" i="115"/>
  <c r="B49" i="115" s="1"/>
  <c r="B50" i="115" s="1"/>
  <c r="B51" i="115" s="1"/>
  <c r="F18" i="34"/>
  <c r="F21" i="32"/>
  <c r="F20" i="32"/>
  <c r="F19" i="32"/>
  <c r="F18" i="32"/>
  <c r="F36" i="54"/>
  <c r="F30" i="54"/>
  <c r="F28" i="54"/>
  <c r="F27" i="54"/>
  <c r="F26" i="54"/>
  <c r="F24" i="54"/>
  <c r="B50" i="116" l="1"/>
  <c r="B51" i="116" s="1"/>
  <c r="D17" i="104"/>
  <c r="F9" i="48" l="1"/>
  <c r="F8" i="48"/>
  <c r="F35" i="18" l="1"/>
  <c r="G45" i="45"/>
  <c r="F40" i="27"/>
  <c r="F39" i="17"/>
  <c r="F39" i="15"/>
  <c r="F41" i="28" l="1"/>
  <c r="F39" i="25"/>
  <c r="F39" i="37"/>
  <c r="K47" i="21" l="1"/>
  <c r="K51" i="21" s="1"/>
  <c r="F40" i="55" l="1"/>
  <c r="F36" i="9"/>
  <c r="F42" i="74"/>
  <c r="F42" i="43"/>
  <c r="F26" i="38" l="1"/>
  <c r="F38" i="55" l="1"/>
  <c r="F36" i="4" l="1"/>
  <c r="F58" i="40" l="1"/>
  <c r="F38" i="7"/>
  <c r="F40" i="31"/>
  <c r="F40" i="109" l="1"/>
  <c r="F44" i="6" l="1"/>
  <c r="K37" i="7" l="1"/>
  <c r="K39" i="55"/>
  <c r="H37" i="34"/>
  <c r="F36" i="7" l="1"/>
  <c r="F37" i="15"/>
  <c r="F37" i="55"/>
  <c r="F38" i="27"/>
  <c r="F37" i="27"/>
  <c r="F35" i="7"/>
  <c r="F36" i="17"/>
  <c r="F37" i="33"/>
  <c r="F36" i="33"/>
  <c r="F42" i="6"/>
  <c r="F41" i="6"/>
  <c r="F37" i="14"/>
  <c r="F36" i="14"/>
  <c r="F39" i="43"/>
  <c r="F39" i="29"/>
  <c r="F39" i="74"/>
  <c r="F37" i="32"/>
  <c r="J39" i="54"/>
  <c r="F36" i="15"/>
  <c r="F37" i="34"/>
  <c r="F36" i="34"/>
  <c r="F36" i="32"/>
  <c r="E39" i="54"/>
  <c r="M39" i="54"/>
  <c r="L39" i="54"/>
  <c r="K39" i="54"/>
  <c r="I39" i="54"/>
  <c r="H39" i="54"/>
  <c r="G39" i="54"/>
  <c r="F38" i="54"/>
  <c r="C43" i="48" l="1"/>
  <c r="F8" i="55" l="1"/>
  <c r="F7" i="55"/>
  <c r="F34" i="6"/>
  <c r="F11" i="6"/>
  <c r="F9" i="6"/>
  <c r="F7" i="6"/>
  <c r="F36" i="27" l="1"/>
  <c r="F35" i="27"/>
  <c r="F34" i="27"/>
  <c r="F33" i="27"/>
  <c r="F32" i="27"/>
  <c r="F31" i="27"/>
  <c r="F30" i="27"/>
  <c r="F29" i="27"/>
  <c r="F28" i="27"/>
  <c r="F27" i="27"/>
  <c r="F26" i="27"/>
  <c r="F25" i="27"/>
  <c r="F24" i="27"/>
  <c r="F21" i="27"/>
  <c r="F20" i="27"/>
  <c r="F19" i="27"/>
  <c r="F18" i="27"/>
  <c r="J13" i="7" l="1"/>
  <c r="E13" i="7"/>
  <c r="D13" i="7"/>
  <c r="D35" i="40"/>
  <c r="E16" i="31" l="1"/>
  <c r="E22" i="31" l="1"/>
  <c r="E41" i="31" s="1"/>
  <c r="F36" i="55" l="1"/>
  <c r="F35" i="55"/>
  <c r="F34" i="55"/>
  <c r="F33" i="55"/>
  <c r="F32" i="55"/>
  <c r="F31" i="55"/>
  <c r="F30" i="55"/>
  <c r="F29" i="55"/>
  <c r="F27" i="55"/>
  <c r="F26" i="55"/>
  <c r="F25" i="55"/>
  <c r="F24" i="55"/>
  <c r="F23" i="55"/>
  <c r="F35" i="17" l="1"/>
  <c r="F34" i="17"/>
  <c r="F33" i="17"/>
  <c r="F32" i="17"/>
  <c r="F31" i="17"/>
  <c r="F30" i="17"/>
  <c r="F29" i="17"/>
  <c r="F28" i="17"/>
  <c r="F27" i="17"/>
  <c r="F26" i="17"/>
  <c r="F25" i="17"/>
  <c r="F24" i="17"/>
  <c r="F21" i="17"/>
  <c r="F20" i="17"/>
  <c r="F19" i="17"/>
  <c r="F18" i="17"/>
  <c r="M22" i="109" l="1"/>
  <c r="L22" i="109"/>
  <c r="K22" i="109"/>
  <c r="J22" i="109"/>
  <c r="I22" i="109"/>
  <c r="H22" i="109"/>
  <c r="G22" i="109"/>
  <c r="E22" i="109"/>
  <c r="D22" i="109"/>
  <c r="F21" i="109"/>
  <c r="F20" i="109"/>
  <c r="F19" i="109"/>
  <c r="M16" i="109"/>
  <c r="L16" i="109"/>
  <c r="K16" i="109"/>
  <c r="J16" i="109"/>
  <c r="I16" i="109"/>
  <c r="H16" i="109"/>
  <c r="G16" i="109"/>
  <c r="D16" i="109"/>
  <c r="F15" i="109"/>
  <c r="F14" i="109"/>
  <c r="F13" i="109"/>
  <c r="F12" i="109"/>
  <c r="F11" i="109"/>
  <c r="F10" i="109"/>
  <c r="F8" i="109"/>
  <c r="F7" i="109"/>
  <c r="D41" i="109" l="1"/>
  <c r="J41" i="109"/>
  <c r="H10" i="2" s="1"/>
  <c r="F22" i="109"/>
  <c r="I41" i="109"/>
  <c r="G10" i="2" s="1"/>
  <c r="M41" i="109"/>
  <c r="H41" i="109"/>
  <c r="F10" i="2" s="1"/>
  <c r="L41" i="109"/>
  <c r="J10" i="2" s="1"/>
  <c r="F16" i="109"/>
  <c r="F41" i="109" s="1"/>
  <c r="G41" i="109"/>
  <c r="E10" i="2" s="1"/>
  <c r="K41" i="109"/>
  <c r="I10" i="2" s="1"/>
  <c r="E41" i="109"/>
  <c r="I16" i="2"/>
  <c r="J16" i="2"/>
  <c r="K14" i="2"/>
  <c r="L14" i="2" s="1"/>
  <c r="K15" i="2"/>
  <c r="L15" i="2" s="1"/>
  <c r="C6" i="1"/>
  <c r="C7" i="1" s="1"/>
  <c r="C27" i="1" s="1"/>
  <c r="C28" i="1" s="1"/>
  <c r="D10" i="2" l="1"/>
  <c r="B49" i="109"/>
  <c r="C10" i="2"/>
  <c r="B48" i="109"/>
  <c r="K10" i="2"/>
  <c r="L10" i="2" s="1"/>
  <c r="E16" i="14"/>
  <c r="B50" i="109" l="1"/>
  <c r="B51" i="109" s="1"/>
  <c r="F9" i="7"/>
  <c r="C48" i="2" l="1"/>
  <c r="E38" i="37"/>
  <c r="F21" i="16"/>
  <c r="F20" i="16"/>
  <c r="F19" i="16"/>
  <c r="F18" i="16"/>
  <c r="G29" i="45" l="1"/>
  <c r="K44" i="45"/>
  <c r="G30" i="45"/>
  <c r="E18" i="48" l="1"/>
  <c r="E34" i="48"/>
  <c r="E13" i="48"/>
  <c r="E36" i="48" l="1"/>
  <c r="B59" i="48" s="1"/>
  <c r="E37" i="48" l="1"/>
  <c r="E38" i="48" s="1"/>
  <c r="F37" i="54"/>
  <c r="F35" i="54"/>
  <c r="F34" i="54"/>
  <c r="F33" i="54"/>
  <c r="F32" i="54"/>
  <c r="F31" i="54"/>
  <c r="F25" i="54"/>
  <c r="F7" i="54"/>
  <c r="F8" i="54"/>
  <c r="F9" i="54"/>
  <c r="F10" i="54"/>
  <c r="F39" i="54" l="1"/>
  <c r="F23" i="29"/>
  <c r="F22" i="29"/>
  <c r="F21" i="29"/>
  <c r="F20" i="29"/>
  <c r="F19" i="29"/>
  <c r="F18" i="29"/>
  <c r="E24" i="29"/>
  <c r="F12" i="6" l="1"/>
  <c r="F8" i="6"/>
  <c r="E13" i="6" l="1"/>
  <c r="F40" i="6"/>
  <c r="F39" i="6"/>
  <c r="F38" i="6"/>
  <c r="F37" i="6"/>
  <c r="F36" i="6"/>
  <c r="F35" i="6"/>
  <c r="L31" i="6"/>
  <c r="F31" i="6" s="1"/>
  <c r="F30" i="6"/>
  <c r="F29" i="6"/>
  <c r="F28" i="6"/>
  <c r="F27" i="6"/>
  <c r="F26" i="6"/>
  <c r="F25" i="6"/>
  <c r="F24" i="6"/>
  <c r="F23" i="6"/>
  <c r="F22" i="6"/>
  <c r="F21" i="6"/>
  <c r="E19" i="6"/>
  <c r="F18" i="6"/>
  <c r="F17" i="6"/>
  <c r="F16" i="6"/>
  <c r="F15" i="6"/>
  <c r="F43" i="6" l="1"/>
  <c r="F32" i="43" l="1"/>
  <c r="E11" i="43" l="1"/>
  <c r="F35" i="108" l="1"/>
  <c r="F36" i="108"/>
  <c r="M39" i="108"/>
  <c r="L39" i="108"/>
  <c r="K39" i="108"/>
  <c r="J39" i="108"/>
  <c r="I39" i="108"/>
  <c r="H39" i="108"/>
  <c r="G39" i="108"/>
  <c r="E39" i="108"/>
  <c r="F34" i="108"/>
  <c r="F33" i="108"/>
  <c r="F32" i="108"/>
  <c r="F31" i="108"/>
  <c r="F30" i="108"/>
  <c r="F29" i="108"/>
  <c r="F28" i="108"/>
  <c r="F27" i="108"/>
  <c r="F26" i="108"/>
  <c r="F25" i="108"/>
  <c r="M23" i="108"/>
  <c r="L23" i="108"/>
  <c r="K23" i="108"/>
  <c r="J23" i="108"/>
  <c r="I23" i="108"/>
  <c r="H23" i="108"/>
  <c r="G23" i="108"/>
  <c r="E23" i="108"/>
  <c r="D23" i="108"/>
  <c r="F22" i="108"/>
  <c r="F21" i="108"/>
  <c r="F20" i="108"/>
  <c r="F19" i="108"/>
  <c r="F18" i="108"/>
  <c r="M16" i="108"/>
  <c r="L16" i="108"/>
  <c r="K16" i="108"/>
  <c r="J16" i="108"/>
  <c r="I16" i="108"/>
  <c r="H16" i="108"/>
  <c r="G16" i="108"/>
  <c r="E16" i="108"/>
  <c r="D16" i="108"/>
  <c r="F15" i="108"/>
  <c r="F14" i="108"/>
  <c r="F13" i="108"/>
  <c r="F12" i="108"/>
  <c r="F11" i="108"/>
  <c r="F10" i="108"/>
  <c r="F9" i="108"/>
  <c r="F8" i="108"/>
  <c r="F7" i="108"/>
  <c r="I41" i="108" l="1"/>
  <c r="G6" i="2" s="1"/>
  <c r="F23" i="108"/>
  <c r="L41" i="108"/>
  <c r="M41" i="108"/>
  <c r="F16" i="108"/>
  <c r="D41" i="108"/>
  <c r="E41" i="108"/>
  <c r="J41" i="108"/>
  <c r="H6" i="2" s="1"/>
  <c r="G41" i="108"/>
  <c r="E6" i="2" s="1"/>
  <c r="K41" i="108"/>
  <c r="I6" i="2" s="1"/>
  <c r="H41" i="108"/>
  <c r="F6" i="2" s="1"/>
  <c r="F39" i="108"/>
  <c r="E42" i="108" l="1"/>
  <c r="C6" i="2" s="1"/>
  <c r="B46" i="108"/>
  <c r="B47" i="108" s="1"/>
  <c r="K6" i="2"/>
  <c r="L6" i="2" s="1"/>
  <c r="F41" i="108"/>
  <c r="B55" i="108" s="1"/>
  <c r="B56" i="108" s="1"/>
  <c r="B57" i="108" s="1"/>
  <c r="G35" i="40"/>
  <c r="H35" i="40"/>
  <c r="I35" i="40"/>
  <c r="J35" i="40"/>
  <c r="K35" i="40"/>
  <c r="L35" i="40"/>
  <c r="M35" i="40"/>
  <c r="E57" i="40"/>
  <c r="F56" i="40"/>
  <c r="F55" i="40"/>
  <c r="F54" i="40"/>
  <c r="F53" i="40"/>
  <c r="F52" i="40"/>
  <c r="F51" i="40"/>
  <c r="F50" i="40"/>
  <c r="F49" i="40"/>
  <c r="F48" i="40"/>
  <c r="F47" i="40"/>
  <c r="F46" i="40"/>
  <c r="F45" i="40"/>
  <c r="F43" i="40"/>
  <c r="F38" i="40"/>
  <c r="F39" i="40"/>
  <c r="F40" i="40"/>
  <c r="F8" i="40"/>
  <c r="F9" i="40"/>
  <c r="F10" i="40"/>
  <c r="F11" i="40"/>
  <c r="F12" i="40"/>
  <c r="F14" i="40"/>
  <c r="F15" i="40"/>
  <c r="F16" i="40"/>
  <c r="F17" i="40"/>
  <c r="F18" i="40"/>
  <c r="F19" i="40"/>
  <c r="F20" i="40"/>
  <c r="F21" i="40"/>
  <c r="F22" i="40"/>
  <c r="F23" i="40"/>
  <c r="F25" i="40"/>
  <c r="F26" i="40"/>
  <c r="F27" i="40"/>
  <c r="F28" i="40"/>
  <c r="F29" i="40"/>
  <c r="F30" i="40"/>
  <c r="F31" i="40"/>
  <c r="F32" i="40"/>
  <c r="F33" i="40"/>
  <c r="F34" i="40"/>
  <c r="F7" i="40"/>
  <c r="E35" i="40"/>
  <c r="F42" i="108" l="1"/>
  <c r="D6" i="2" s="1"/>
  <c r="F35" i="40"/>
  <c r="E22" i="22" l="1"/>
  <c r="F35" i="21" l="1"/>
  <c r="F34" i="21"/>
  <c r="F33" i="21"/>
  <c r="F32" i="21"/>
  <c r="F31" i="21"/>
  <c r="F30" i="21"/>
  <c r="F29" i="21"/>
  <c r="F28" i="21"/>
  <c r="F27" i="21"/>
  <c r="F26" i="21"/>
  <c r="F25" i="21"/>
  <c r="F24" i="21"/>
  <c r="F20" i="21"/>
  <c r="F18" i="21"/>
  <c r="F42" i="21" s="1"/>
  <c r="F17" i="21"/>
  <c r="F47" i="21" s="1"/>
  <c r="F14" i="21"/>
  <c r="F13" i="21"/>
  <c r="F12" i="21"/>
  <c r="F11" i="21"/>
  <c r="F37" i="21"/>
  <c r="F45" i="21" l="1"/>
  <c r="E40" i="28"/>
  <c r="E38" i="25" l="1"/>
  <c r="E22" i="25"/>
  <c r="E16" i="25"/>
  <c r="E40" i="25" l="1"/>
  <c r="B57" i="25" s="1"/>
  <c r="E38" i="38"/>
  <c r="E40" i="38" s="1"/>
  <c r="B50" i="38" s="1"/>
  <c r="F17" i="18" l="1"/>
  <c r="F14" i="18"/>
  <c r="F34" i="36" l="1"/>
  <c r="E12" i="36"/>
  <c r="F19" i="4" l="1"/>
  <c r="F18" i="4"/>
  <c r="F16" i="4"/>
  <c r="F15" i="4"/>
  <c r="G27" i="45" l="1"/>
  <c r="G28" i="45"/>
  <c r="G31" i="45"/>
  <c r="G32" i="45"/>
  <c r="F44" i="45"/>
  <c r="D44" i="45"/>
  <c r="B190" i="1" l="1"/>
  <c r="C189" i="1" s="1"/>
  <c r="B167" i="1"/>
  <c r="B169" i="1" s="1"/>
  <c r="B171" i="1" s="1"/>
  <c r="B147" i="1"/>
  <c r="B150" i="1" s="1"/>
  <c r="B151" i="1" s="1"/>
  <c r="C11" i="1"/>
  <c r="B78" i="1"/>
  <c r="B80" i="1" s="1"/>
  <c r="B84" i="1" s="1"/>
  <c r="B34" i="1"/>
  <c r="B36" i="1" s="1"/>
  <c r="B9" i="1"/>
  <c r="B14" i="1" s="1"/>
  <c r="B38" i="1" l="1"/>
  <c r="B191" i="1"/>
  <c r="B212" i="1" s="1"/>
  <c r="C33" i="1" l="1"/>
  <c r="C34" i="1" s="1"/>
  <c r="F21" i="48"/>
  <c r="I214" i="1" l="1"/>
  <c r="J52" i="1"/>
  <c r="J51" i="1" l="1"/>
  <c r="C218" i="1" l="1"/>
  <c r="J39" i="1" l="1"/>
  <c r="H40" i="1" l="1"/>
  <c r="N194" i="1"/>
  <c r="I194" i="1"/>
  <c r="H194" i="1"/>
  <c r="G194" i="1"/>
  <c r="F194" i="1"/>
  <c r="E194" i="1"/>
  <c r="D194" i="1"/>
  <c r="C194" i="1"/>
  <c r="I218" i="1"/>
  <c r="H218" i="1"/>
  <c r="G218" i="1"/>
  <c r="F218" i="1"/>
  <c r="E218" i="1"/>
  <c r="J173" i="1" l="1"/>
  <c r="J218" i="1" s="1"/>
  <c r="D218" i="1"/>
  <c r="C82" i="1" l="1"/>
  <c r="F39" i="14" l="1"/>
  <c r="F39" i="34"/>
  <c r="H38" i="37" l="1"/>
  <c r="K13" i="2" l="1"/>
  <c r="L13" i="2" s="1"/>
  <c r="G38" i="37" l="1"/>
  <c r="I38" i="37"/>
  <c r="J38" i="37"/>
  <c r="K38" i="37"/>
  <c r="L38" i="37"/>
  <c r="M38" i="37"/>
  <c r="F28" i="37"/>
  <c r="E21" i="21" l="1"/>
  <c r="E15" i="21"/>
  <c r="E37" i="7"/>
  <c r="M24" i="29"/>
  <c r="L24" i="29"/>
  <c r="K24" i="29"/>
  <c r="J24" i="29"/>
  <c r="I24" i="29"/>
  <c r="H24" i="29"/>
  <c r="G24" i="29"/>
  <c r="F24" i="29"/>
  <c r="C30" i="104"/>
  <c r="F33" i="39" l="1"/>
  <c r="F32" i="39"/>
  <c r="F31" i="39"/>
  <c r="F30" i="39"/>
  <c r="F29" i="39"/>
  <c r="F28" i="39"/>
  <c r="F27" i="39"/>
  <c r="F26" i="39"/>
  <c r="F24" i="39"/>
  <c r="F23" i="39"/>
  <c r="F22" i="39"/>
  <c r="F21" i="39"/>
  <c r="F20" i="39"/>
  <c r="F17" i="39"/>
  <c r="F16" i="39"/>
  <c r="F15" i="39"/>
  <c r="F14" i="39"/>
  <c r="F7" i="39"/>
  <c r="F18" i="39" l="1"/>
  <c r="F26" i="7"/>
  <c r="F25" i="7"/>
  <c r="F24" i="7"/>
  <c r="F28" i="74" l="1"/>
  <c r="F33" i="74"/>
  <c r="F34" i="74"/>
  <c r="F35" i="74"/>
  <c r="F21" i="22" l="1"/>
  <c r="F20" i="22"/>
  <c r="F19" i="22"/>
  <c r="F18" i="22"/>
  <c r="F23" i="7" l="1"/>
  <c r="E41" i="43" l="1"/>
  <c r="G13" i="7" l="1"/>
  <c r="H13" i="7"/>
  <c r="I13" i="7"/>
  <c r="K13" i="7"/>
  <c r="L13" i="7"/>
  <c r="E25" i="28" l="1"/>
  <c r="E19" i="28"/>
  <c r="E36" i="21"/>
  <c r="E42" i="28" l="1"/>
  <c r="B74" i="28" s="1"/>
  <c r="K13" i="48" l="1"/>
  <c r="E16" i="43" l="1"/>
  <c r="E43" i="43" s="1"/>
  <c r="B57" i="43" s="1"/>
  <c r="E44" i="43" l="1"/>
  <c r="C28" i="104" s="1"/>
  <c r="B49" i="43"/>
  <c r="F14" i="43"/>
  <c r="F13" i="43"/>
  <c r="F38" i="43"/>
  <c r="F37" i="43"/>
  <c r="F36" i="43"/>
  <c r="F35" i="43"/>
  <c r="F34" i="43"/>
  <c r="F22" i="43"/>
  <c r="F21" i="43"/>
  <c r="F20" i="43"/>
  <c r="F19" i="43"/>
  <c r="F18" i="43"/>
  <c r="F9" i="43"/>
  <c r="F10" i="43"/>
  <c r="F34" i="9" l="1"/>
  <c r="F33" i="9"/>
  <c r="F32" i="9"/>
  <c r="F31" i="9"/>
  <c r="F30" i="9"/>
  <c r="F29" i="9"/>
  <c r="F28" i="9"/>
  <c r="F27" i="9"/>
  <c r="F26" i="9"/>
  <c r="F25" i="9"/>
  <c r="F24" i="9"/>
  <c r="F23" i="9"/>
  <c r="F22" i="9"/>
  <c r="F21" i="9"/>
  <c r="F20" i="9"/>
  <c r="F19" i="9"/>
  <c r="E19" i="9" s="1"/>
  <c r="E35" i="9" s="1"/>
  <c r="E37" i="9" s="1"/>
  <c r="F16" i="9"/>
  <c r="F15" i="9"/>
  <c r="F14" i="9"/>
  <c r="F13" i="9"/>
  <c r="F7" i="9"/>
  <c r="F8" i="9"/>
  <c r="F9" i="9"/>
  <c r="F29" i="37" l="1"/>
  <c r="F38" i="37" l="1"/>
  <c r="F48" i="37"/>
  <c r="F49" i="37"/>
  <c r="F25" i="26"/>
  <c r="F26" i="26"/>
  <c r="F27" i="26"/>
  <c r="F28" i="26"/>
  <c r="F29" i="26"/>
  <c r="F30" i="26"/>
  <c r="F31" i="26"/>
  <c r="F32" i="26"/>
  <c r="F33" i="26"/>
  <c r="F34" i="26"/>
  <c r="F35" i="26"/>
  <c r="F24" i="26"/>
  <c r="F51" i="37" l="1"/>
  <c r="F39" i="28"/>
  <c r="F38" i="28"/>
  <c r="F37" i="28"/>
  <c r="F36" i="28"/>
  <c r="F35" i="28"/>
  <c r="F34" i="28"/>
  <c r="F33" i="28"/>
  <c r="F32" i="28"/>
  <c r="F31" i="28"/>
  <c r="F30" i="28"/>
  <c r="F29" i="28"/>
  <c r="F28" i="28"/>
  <c r="F27" i="28"/>
  <c r="F24" i="28"/>
  <c r="F23" i="28"/>
  <c r="F22" i="28"/>
  <c r="F21" i="28"/>
  <c r="F37" i="25" l="1"/>
  <c r="F36" i="25"/>
  <c r="F35" i="25"/>
  <c r="F34" i="25"/>
  <c r="F33" i="25"/>
  <c r="F32" i="25"/>
  <c r="F31" i="25"/>
  <c r="F29" i="25"/>
  <c r="F28" i="25"/>
  <c r="F27" i="25"/>
  <c r="F26" i="25"/>
  <c r="F25" i="25"/>
  <c r="F24" i="25"/>
  <c r="G22" i="25"/>
  <c r="H22" i="25"/>
  <c r="I22" i="25"/>
  <c r="J22" i="25"/>
  <c r="K22" i="25"/>
  <c r="L22" i="25"/>
  <c r="M22" i="25"/>
  <c r="F21" i="25"/>
  <c r="F20" i="25"/>
  <c r="F19" i="25"/>
  <c r="F18" i="25"/>
  <c r="F7" i="25"/>
  <c r="F8" i="25"/>
  <c r="F9" i="25"/>
  <c r="F10" i="25"/>
  <c r="F11" i="25"/>
  <c r="F12" i="25"/>
  <c r="F13" i="25"/>
  <c r="F22" i="25" l="1"/>
  <c r="G16" i="31"/>
  <c r="H16" i="31"/>
  <c r="I16" i="31"/>
  <c r="J16" i="31"/>
  <c r="K16" i="31"/>
  <c r="L16" i="31"/>
  <c r="M16" i="31"/>
  <c r="G22" i="31"/>
  <c r="H22" i="31"/>
  <c r="I22" i="31"/>
  <c r="J22" i="31"/>
  <c r="K22" i="31"/>
  <c r="L22" i="31"/>
  <c r="M22" i="31"/>
  <c r="F22" i="31"/>
  <c r="F7" i="31"/>
  <c r="F35" i="33" l="1"/>
  <c r="F34" i="33"/>
  <c r="F33" i="33"/>
  <c r="F32" i="33"/>
  <c r="F31" i="33"/>
  <c r="F30" i="33"/>
  <c r="F29" i="33"/>
  <c r="F28" i="33"/>
  <c r="F27" i="33"/>
  <c r="F26" i="33"/>
  <c r="F25" i="33"/>
  <c r="F24" i="33"/>
  <c r="F21" i="33"/>
  <c r="F20" i="33"/>
  <c r="F19" i="33"/>
  <c r="F18" i="33"/>
  <c r="F8" i="32" l="1"/>
  <c r="F9" i="32"/>
  <c r="F10" i="32"/>
  <c r="F11" i="32"/>
  <c r="F35" i="32" l="1"/>
  <c r="F34" i="32"/>
  <c r="F33" i="32"/>
  <c r="F32" i="32"/>
  <c r="F31" i="32"/>
  <c r="F30" i="32"/>
  <c r="F29" i="32"/>
  <c r="F28" i="32"/>
  <c r="F27" i="32"/>
  <c r="F26" i="32"/>
  <c r="F25" i="32"/>
  <c r="F24" i="32"/>
  <c r="F37" i="38" l="1"/>
  <c r="F36" i="38"/>
  <c r="F35" i="38"/>
  <c r="F34" i="38"/>
  <c r="F33" i="38"/>
  <c r="F32" i="38"/>
  <c r="F31" i="38"/>
  <c r="F30" i="38"/>
  <c r="F29" i="38"/>
  <c r="F28" i="38"/>
  <c r="F24" i="38"/>
  <c r="F21" i="38"/>
  <c r="F20" i="38"/>
  <c r="F19" i="38"/>
  <c r="F18" i="38"/>
  <c r="F7" i="38"/>
  <c r="F8" i="38"/>
  <c r="F9" i="38"/>
  <c r="F10" i="38"/>
  <c r="F11" i="38"/>
  <c r="E39" i="55" l="1"/>
  <c r="M39" i="55"/>
  <c r="G39" i="55"/>
  <c r="H39" i="55"/>
  <c r="I39" i="55"/>
  <c r="J39" i="55"/>
  <c r="L39" i="55"/>
  <c r="F32" i="48"/>
  <c r="F31" i="48"/>
  <c r="F30" i="48"/>
  <c r="F29" i="48"/>
  <c r="F27" i="48"/>
  <c r="F26" i="48"/>
  <c r="F25" i="48"/>
  <c r="F24" i="48"/>
  <c r="F23" i="48"/>
  <c r="F22" i="48"/>
  <c r="F20" i="48"/>
  <c r="F17" i="48"/>
  <c r="F16" i="48"/>
  <c r="F15" i="48"/>
  <c r="F10" i="48"/>
  <c r="F11" i="48"/>
  <c r="F12" i="48"/>
  <c r="F7" i="48"/>
  <c r="F34" i="7"/>
  <c r="F33" i="7"/>
  <c r="F32" i="7"/>
  <c r="F31" i="7"/>
  <c r="F30" i="7"/>
  <c r="F29" i="7"/>
  <c r="F28" i="7"/>
  <c r="F27" i="7"/>
  <c r="F22" i="7"/>
  <c r="F21" i="7"/>
  <c r="F20" i="7"/>
  <c r="F19" i="7"/>
  <c r="F18" i="7"/>
  <c r="F15" i="7"/>
  <c r="F7" i="7"/>
  <c r="F10" i="7"/>
  <c r="F11" i="7"/>
  <c r="F12" i="7"/>
  <c r="F13" i="7" l="1"/>
  <c r="F39" i="55"/>
  <c r="M41" i="74" l="1"/>
  <c r="L41" i="74"/>
  <c r="K41" i="74"/>
  <c r="J41" i="74"/>
  <c r="I41" i="74"/>
  <c r="H41" i="74"/>
  <c r="G41" i="74"/>
  <c r="E41" i="74"/>
  <c r="F38" i="74"/>
  <c r="F37" i="74"/>
  <c r="F36" i="74"/>
  <c r="F27" i="74"/>
  <c r="F26" i="74"/>
  <c r="F25" i="74"/>
  <c r="M23" i="74"/>
  <c r="L23" i="74"/>
  <c r="K23" i="74"/>
  <c r="J23" i="74"/>
  <c r="I23" i="74"/>
  <c r="H23" i="74"/>
  <c r="G23" i="74"/>
  <c r="E23" i="74"/>
  <c r="D23" i="74"/>
  <c r="F22" i="74"/>
  <c r="F21" i="74"/>
  <c r="F20" i="74"/>
  <c r="F19" i="74"/>
  <c r="F18" i="74"/>
  <c r="M16" i="74"/>
  <c r="L16" i="74"/>
  <c r="K16" i="74"/>
  <c r="J16" i="74"/>
  <c r="I16" i="74"/>
  <c r="H16" i="74"/>
  <c r="G16" i="74"/>
  <c r="E16" i="74"/>
  <c r="D16" i="74"/>
  <c r="F15" i="74"/>
  <c r="F14" i="74"/>
  <c r="F13" i="74"/>
  <c r="F12" i="74"/>
  <c r="F11" i="74"/>
  <c r="F10" i="74"/>
  <c r="F9" i="74"/>
  <c r="F8" i="74"/>
  <c r="F7" i="74"/>
  <c r="F34" i="52"/>
  <c r="F33" i="52"/>
  <c r="F32" i="52"/>
  <c r="F31" i="52"/>
  <c r="F30" i="52"/>
  <c r="F29" i="52"/>
  <c r="F28" i="52"/>
  <c r="F27" i="52"/>
  <c r="F26" i="52"/>
  <c r="F25" i="52"/>
  <c r="F24" i="52"/>
  <c r="F23" i="52"/>
  <c r="F22" i="52"/>
  <c r="F19" i="52"/>
  <c r="F18" i="52"/>
  <c r="F17" i="52"/>
  <c r="F16" i="52"/>
  <c r="F15" i="52"/>
  <c r="F23" i="74" l="1"/>
  <c r="K43" i="74"/>
  <c r="I29" i="104" s="1"/>
  <c r="E43" i="74"/>
  <c r="G43" i="74"/>
  <c r="E10" i="104" s="1"/>
  <c r="J43" i="74"/>
  <c r="H10" i="104" s="1"/>
  <c r="F41" i="74"/>
  <c r="I43" i="74"/>
  <c r="G10" i="104" s="1"/>
  <c r="M43" i="74"/>
  <c r="F16" i="74"/>
  <c r="D43" i="74"/>
  <c r="H43" i="74"/>
  <c r="L43" i="74"/>
  <c r="C10" i="104" l="1"/>
  <c r="B54" i="74"/>
  <c r="F43" i="74"/>
  <c r="I48" i="74" l="1"/>
  <c r="L47" i="74"/>
  <c r="L46" i="74"/>
  <c r="B55" i="74"/>
  <c r="B56" i="74" s="1"/>
  <c r="B57" i="74" s="1"/>
  <c r="K10" i="104" l="1"/>
  <c r="L10" i="104" s="1"/>
  <c r="J29" i="104"/>
  <c r="K29" i="104" s="1"/>
  <c r="L29" i="104" s="1"/>
  <c r="J48" i="74"/>
  <c r="D29" i="104"/>
  <c r="F35" i="34"/>
  <c r="F34" i="34"/>
  <c r="F33" i="34"/>
  <c r="F32" i="34"/>
  <c r="F31" i="34"/>
  <c r="F30" i="34"/>
  <c r="F29" i="34"/>
  <c r="F28" i="34"/>
  <c r="F27" i="34"/>
  <c r="F26" i="34"/>
  <c r="F25" i="34"/>
  <c r="F24" i="34"/>
  <c r="F21" i="34"/>
  <c r="F20" i="34"/>
  <c r="F19" i="34"/>
  <c r="F37" i="40" l="1"/>
  <c r="F31" i="44" l="1"/>
  <c r="F29" i="44"/>
  <c r="F28" i="44"/>
  <c r="F27" i="44"/>
  <c r="F26" i="44"/>
  <c r="F25" i="44"/>
  <c r="F24" i="44"/>
  <c r="F23" i="44"/>
  <c r="F22" i="44"/>
  <c r="F21" i="44"/>
  <c r="F20" i="44"/>
  <c r="F19" i="44"/>
  <c r="F18" i="44"/>
  <c r="F15" i="44"/>
  <c r="F14" i="44"/>
  <c r="F13" i="44"/>
  <c r="F12" i="44"/>
  <c r="F7" i="44"/>
  <c r="F8" i="44"/>
  <c r="F9" i="44"/>
  <c r="F16" i="44" l="1"/>
  <c r="F35" i="15"/>
  <c r="F34" i="15"/>
  <c r="F33" i="15"/>
  <c r="F32" i="15"/>
  <c r="F31" i="15"/>
  <c r="F30" i="15"/>
  <c r="F29" i="15"/>
  <c r="F28" i="15"/>
  <c r="F27" i="15"/>
  <c r="F26" i="15"/>
  <c r="F25" i="15"/>
  <c r="F24" i="15"/>
  <c r="F25" i="14" l="1"/>
  <c r="F26" i="14"/>
  <c r="F27" i="14"/>
  <c r="F28" i="14"/>
  <c r="F29" i="14"/>
  <c r="F30" i="14"/>
  <c r="F31" i="14"/>
  <c r="F32" i="14"/>
  <c r="F33" i="14"/>
  <c r="F34" i="14"/>
  <c r="F35" i="14"/>
  <c r="F24" i="14"/>
  <c r="F15" i="14"/>
  <c r="F7" i="14"/>
  <c r="F8" i="14"/>
  <c r="F9" i="14"/>
  <c r="F10" i="14"/>
  <c r="F11" i="14"/>
  <c r="F12" i="14"/>
  <c r="F30" i="36" l="1"/>
  <c r="F29" i="36"/>
  <c r="F28" i="36"/>
  <c r="F27" i="36"/>
  <c r="F26" i="36"/>
  <c r="F25" i="36"/>
  <c r="F24" i="36"/>
  <c r="F23" i="36"/>
  <c r="F22" i="36"/>
  <c r="F21" i="36"/>
  <c r="F20" i="36"/>
  <c r="F19" i="36"/>
  <c r="F16" i="36"/>
  <c r="F15" i="36"/>
  <c r="F14" i="36"/>
  <c r="F11" i="36"/>
  <c r="F10" i="36"/>
  <c r="F9" i="36"/>
  <c r="F7" i="36"/>
  <c r="C163" i="1" l="1"/>
  <c r="C143" i="1"/>
  <c r="C146" i="1" s="1"/>
  <c r="E152" i="1"/>
  <c r="D152" i="1"/>
  <c r="C166" i="1" l="1"/>
  <c r="E40" i="34"/>
  <c r="E36" i="18"/>
  <c r="E35" i="36"/>
  <c r="E37" i="4"/>
  <c r="B44" i="4" s="1"/>
  <c r="C26" i="104" l="1"/>
  <c r="B47" i="34"/>
  <c r="G47" i="2"/>
  <c r="H47" i="2"/>
  <c r="I47" i="2"/>
  <c r="J47" i="2"/>
  <c r="F47" i="2"/>
  <c r="E47" i="2"/>
  <c r="D51" i="2"/>
  <c r="D47" i="2"/>
  <c r="K47" i="2" l="1"/>
  <c r="F10" i="9" l="1"/>
  <c r="G7" i="104" l="1"/>
  <c r="H7" i="104"/>
  <c r="F7" i="104"/>
  <c r="E7" i="104"/>
  <c r="I7" i="104"/>
  <c r="J7" i="104" l="1"/>
  <c r="C7" i="104"/>
  <c r="G53" i="2"/>
  <c r="H53" i="2"/>
  <c r="K7" i="104" l="1"/>
  <c r="L7" i="104" s="1"/>
  <c r="G152" i="1"/>
  <c r="D7" i="104" l="1"/>
  <c r="M16" i="7"/>
  <c r="L16" i="7"/>
  <c r="K16" i="7"/>
  <c r="J16" i="7"/>
  <c r="I16" i="7"/>
  <c r="H16" i="7"/>
  <c r="G16" i="7"/>
  <c r="F152" i="1" l="1"/>
  <c r="H152" i="1"/>
  <c r="I152" i="1"/>
  <c r="J18" i="3"/>
  <c r="J149" i="1"/>
  <c r="J152" i="1" l="1"/>
  <c r="M21" i="55" l="1"/>
  <c r="L21" i="55"/>
  <c r="K21" i="55"/>
  <c r="J21" i="55"/>
  <c r="I21" i="55"/>
  <c r="H21" i="55"/>
  <c r="G21" i="55"/>
  <c r="E21" i="55"/>
  <c r="D21" i="55"/>
  <c r="M15" i="55"/>
  <c r="L15" i="55"/>
  <c r="K15" i="55"/>
  <c r="J15" i="55"/>
  <c r="I15" i="55"/>
  <c r="H15" i="55"/>
  <c r="G15" i="55"/>
  <c r="E15" i="55"/>
  <c r="D15" i="55"/>
  <c r="F14" i="55"/>
  <c r="F13" i="55"/>
  <c r="F12" i="55"/>
  <c r="F11" i="55"/>
  <c r="F10" i="55"/>
  <c r="G41" i="55" l="1"/>
  <c r="E5" i="104" s="1"/>
  <c r="L41" i="55"/>
  <c r="J5" i="104" s="1"/>
  <c r="H41" i="55"/>
  <c r="F5" i="104" s="1"/>
  <c r="E41" i="55"/>
  <c r="E42" i="55" s="1"/>
  <c r="C5" i="104" s="1"/>
  <c r="I41" i="55"/>
  <c r="G5" i="104" s="1"/>
  <c r="F15" i="55"/>
  <c r="F41" i="55" s="1"/>
  <c r="K41" i="55"/>
  <c r="I5" i="104" s="1"/>
  <c r="J41" i="55"/>
  <c r="H5" i="104" s="1"/>
  <c r="M41" i="55"/>
  <c r="M22" i="54"/>
  <c r="L22" i="54"/>
  <c r="L41" i="54" s="1"/>
  <c r="K22" i="54"/>
  <c r="K41" i="54" s="1"/>
  <c r="J22" i="54"/>
  <c r="I22" i="54"/>
  <c r="H22" i="54"/>
  <c r="H41" i="54" s="1"/>
  <c r="G22" i="54"/>
  <c r="G41" i="54" s="1"/>
  <c r="F22" i="54"/>
  <c r="E22" i="54"/>
  <c r="D22" i="54"/>
  <c r="M16" i="54"/>
  <c r="L16" i="54"/>
  <c r="K16" i="54"/>
  <c r="J16" i="54"/>
  <c r="J41" i="54" s="1"/>
  <c r="H3" i="104" s="1"/>
  <c r="I16" i="54"/>
  <c r="H16" i="54"/>
  <c r="G16" i="54"/>
  <c r="E16" i="54"/>
  <c r="D16" i="54"/>
  <c r="F15" i="54"/>
  <c r="F14" i="54"/>
  <c r="F13" i="54"/>
  <c r="F42" i="55" l="1"/>
  <c r="D5" i="104" s="1"/>
  <c r="B53" i="55"/>
  <c r="B54" i="55" s="1"/>
  <c r="B55" i="55" s="1"/>
  <c r="E41" i="54"/>
  <c r="I41" i="54"/>
  <c r="G3" i="104" s="1"/>
  <c r="M41" i="54"/>
  <c r="K5" i="104"/>
  <c r="L5" i="104" s="1"/>
  <c r="F3" i="104"/>
  <c r="J3" i="104"/>
  <c r="F16" i="54"/>
  <c r="F41" i="54" s="1"/>
  <c r="E3" i="104"/>
  <c r="I3" i="104"/>
  <c r="D41" i="54"/>
  <c r="F42" i="54" l="1"/>
  <c r="D3" i="104" s="1"/>
  <c r="E42" i="54"/>
  <c r="C3" i="104" s="1"/>
  <c r="B46" i="54"/>
  <c r="K3" i="104" l="1"/>
  <c r="F34" i="48"/>
  <c r="K34" i="48"/>
  <c r="L3" i="104" l="1"/>
  <c r="M38" i="25" l="1"/>
  <c r="G38" i="25"/>
  <c r="H38" i="25"/>
  <c r="I38" i="25"/>
  <c r="J38" i="25"/>
  <c r="K38" i="25"/>
  <c r="L38" i="25"/>
  <c r="F38" i="25"/>
  <c r="N44" i="45" l="1"/>
  <c r="M44" i="45"/>
  <c r="L44" i="45"/>
  <c r="J44" i="45"/>
  <c r="I44" i="45"/>
  <c r="H44" i="45"/>
  <c r="E44" i="45"/>
  <c r="N20" i="45"/>
  <c r="M20" i="45"/>
  <c r="L20" i="45"/>
  <c r="K20" i="45"/>
  <c r="J20" i="45"/>
  <c r="I20" i="45"/>
  <c r="H20" i="45"/>
  <c r="G20" i="45"/>
  <c r="F20" i="45"/>
  <c r="E20" i="45"/>
  <c r="D20" i="45"/>
  <c r="N13" i="45"/>
  <c r="M13" i="45"/>
  <c r="L13" i="45"/>
  <c r="K13" i="45"/>
  <c r="J13" i="45"/>
  <c r="I13" i="45"/>
  <c r="H13" i="45"/>
  <c r="F13" i="45"/>
  <c r="E13" i="45"/>
  <c r="D13" i="45"/>
  <c r="G12" i="45"/>
  <c r="G11" i="45"/>
  <c r="G10" i="45"/>
  <c r="G9" i="45"/>
  <c r="G8" i="45"/>
  <c r="G7" i="45"/>
  <c r="H46" i="45" l="1"/>
  <c r="E3" i="2" s="1"/>
  <c r="L46" i="45"/>
  <c r="I3" i="2" s="1"/>
  <c r="K46" i="45"/>
  <c r="H3" i="2" s="1"/>
  <c r="I46" i="45"/>
  <c r="F3" i="2" s="1"/>
  <c r="M46" i="45"/>
  <c r="J3" i="2" s="1"/>
  <c r="J46" i="45"/>
  <c r="G3" i="2" s="1"/>
  <c r="N46" i="45"/>
  <c r="E46" i="45"/>
  <c r="G44" i="45"/>
  <c r="G13" i="45"/>
  <c r="C3" i="2" l="1"/>
  <c r="B64" i="45"/>
  <c r="G46" i="45"/>
  <c r="K3" i="2"/>
  <c r="M35" i="52"/>
  <c r="L35" i="52"/>
  <c r="K35" i="52"/>
  <c r="J35" i="52"/>
  <c r="I35" i="52"/>
  <c r="H35" i="52"/>
  <c r="G35" i="52"/>
  <c r="F35" i="52"/>
  <c r="M20" i="52"/>
  <c r="L20" i="52"/>
  <c r="K20" i="52"/>
  <c r="J20" i="52"/>
  <c r="I20" i="52"/>
  <c r="H20" i="52"/>
  <c r="G20" i="52"/>
  <c r="F20" i="52"/>
  <c r="E20" i="52"/>
  <c r="D20" i="52"/>
  <c r="M13" i="52"/>
  <c r="L13" i="52"/>
  <c r="K13" i="52"/>
  <c r="J13" i="52"/>
  <c r="I13" i="52"/>
  <c r="H13" i="52"/>
  <c r="G13" i="52"/>
  <c r="E13" i="52"/>
  <c r="D13" i="52"/>
  <c r="F12" i="52"/>
  <c r="F11" i="52"/>
  <c r="F10" i="52"/>
  <c r="F9" i="52"/>
  <c r="F8" i="52"/>
  <c r="F7" i="52"/>
  <c r="D3" i="2" l="1"/>
  <c r="B65" i="45"/>
  <c r="B66" i="45" s="1"/>
  <c r="B67" i="45" s="1"/>
  <c r="L3" i="2"/>
  <c r="D37" i="52"/>
  <c r="J37" i="52"/>
  <c r="H4" i="104" s="1"/>
  <c r="E37" i="52"/>
  <c r="I37" i="52"/>
  <c r="G4" i="104" s="1"/>
  <c r="M37" i="52"/>
  <c r="G37" i="52"/>
  <c r="E4" i="104" s="1"/>
  <c r="K37" i="52"/>
  <c r="I4" i="104" s="1"/>
  <c r="F13" i="52"/>
  <c r="F37" i="52" s="1"/>
  <c r="H37" i="52"/>
  <c r="F4" i="104" s="1"/>
  <c r="L37" i="52"/>
  <c r="J4" i="104" s="1"/>
  <c r="D4" i="104" l="1"/>
  <c r="B46" i="52"/>
  <c r="C4" i="104"/>
  <c r="B45" i="52"/>
  <c r="K4" i="104"/>
  <c r="L4" i="104" s="1"/>
  <c r="C74" i="1"/>
  <c r="C205" i="1" s="1"/>
  <c r="B47" i="52" l="1"/>
  <c r="B48" i="52" s="1"/>
  <c r="C77" i="1"/>
  <c r="C208" i="1" s="1"/>
  <c r="C78" i="1" l="1"/>
  <c r="C98" i="1" s="1"/>
  <c r="C99" i="1" s="1"/>
  <c r="M34" i="48"/>
  <c r="L34" i="48"/>
  <c r="J34" i="48"/>
  <c r="I34" i="48"/>
  <c r="H34" i="48"/>
  <c r="G34" i="48"/>
  <c r="M18" i="48"/>
  <c r="L18" i="48"/>
  <c r="K18" i="48"/>
  <c r="J18" i="48"/>
  <c r="I18" i="48"/>
  <c r="H18" i="48"/>
  <c r="G18" i="48"/>
  <c r="F18" i="48"/>
  <c r="M13" i="48"/>
  <c r="L13" i="48"/>
  <c r="J13" i="48"/>
  <c r="I13" i="48"/>
  <c r="H13" i="48"/>
  <c r="G13" i="48"/>
  <c r="F13" i="48"/>
  <c r="D13" i="48"/>
  <c r="D36" i="48" s="1"/>
  <c r="L36" i="48" l="1"/>
  <c r="J34" i="104" s="1"/>
  <c r="H36" i="48"/>
  <c r="I36" i="48"/>
  <c r="M36" i="48"/>
  <c r="F36" i="48"/>
  <c r="J36" i="48"/>
  <c r="G36" i="48"/>
  <c r="K36" i="48"/>
  <c r="E34" i="104" l="1"/>
  <c r="E14" i="104"/>
  <c r="G34" i="104"/>
  <c r="G14" i="104"/>
  <c r="H34" i="104"/>
  <c r="H14" i="104"/>
  <c r="F14" i="104"/>
  <c r="F34" i="104"/>
  <c r="B60" i="48"/>
  <c r="B61" i="48" s="1"/>
  <c r="B62" i="48" s="1"/>
  <c r="F37" i="48"/>
  <c r="K41" i="48" s="1"/>
  <c r="J14" i="104"/>
  <c r="J42" i="48" l="1"/>
  <c r="I34" i="104" s="1"/>
  <c r="D34" i="104" s="1"/>
  <c r="J41" i="48"/>
  <c r="I14" i="104" s="1"/>
  <c r="D14" i="104" s="1"/>
  <c r="K43" i="48"/>
  <c r="K45" i="48" s="1"/>
  <c r="F38" i="48"/>
  <c r="B43" i="48"/>
  <c r="L51" i="21"/>
  <c r="M45" i="21"/>
  <c r="B48" i="48" l="1"/>
  <c r="M32" i="44" l="1"/>
  <c r="L32" i="44"/>
  <c r="K32" i="44"/>
  <c r="J32" i="44"/>
  <c r="I32" i="44"/>
  <c r="H32" i="44"/>
  <c r="H35" i="44" s="1"/>
  <c r="G32" i="44"/>
  <c r="F32" i="44"/>
  <c r="F35" i="44" s="1"/>
  <c r="E32" i="44"/>
  <c r="M16" i="44"/>
  <c r="L16" i="44"/>
  <c r="K16" i="44"/>
  <c r="J16" i="44"/>
  <c r="I16" i="44"/>
  <c r="H16" i="44"/>
  <c r="G16" i="44"/>
  <c r="E16" i="44"/>
  <c r="D16" i="44"/>
  <c r="N10" i="44"/>
  <c r="N35" i="44" s="1"/>
  <c r="M10" i="44"/>
  <c r="L10" i="44"/>
  <c r="K10" i="44"/>
  <c r="J10" i="44"/>
  <c r="I10" i="44"/>
  <c r="H10" i="44"/>
  <c r="G10" i="44"/>
  <c r="E10" i="44"/>
  <c r="D10" i="44"/>
  <c r="B45" i="44" l="1"/>
  <c r="B46" i="44" s="1"/>
  <c r="B47" i="44" s="1"/>
  <c r="D8" i="2"/>
  <c r="E8" i="2"/>
  <c r="F8" i="2"/>
  <c r="J8" i="2"/>
  <c r="I8" i="2"/>
  <c r="G8" i="2"/>
  <c r="H8" i="2"/>
  <c r="D35" i="44"/>
  <c r="F10" i="44"/>
  <c r="K8" i="2" l="1"/>
  <c r="L8" i="2" s="1"/>
  <c r="C115" i="1"/>
  <c r="C105" i="1"/>
  <c r="B108" i="1"/>
  <c r="B213" i="1" s="1"/>
  <c r="C118" i="1" l="1"/>
  <c r="C119" i="1" s="1"/>
  <c r="C220" i="1"/>
  <c r="C108" i="1"/>
  <c r="J109" i="1" l="1"/>
  <c r="M41" i="43" l="1"/>
  <c r="L41" i="43"/>
  <c r="K41" i="43"/>
  <c r="J41" i="43"/>
  <c r="I41" i="43"/>
  <c r="H41" i="43"/>
  <c r="G41" i="43"/>
  <c r="F41" i="43"/>
  <c r="M16" i="43"/>
  <c r="L16" i="43"/>
  <c r="K16" i="43"/>
  <c r="J16" i="43"/>
  <c r="I16" i="43"/>
  <c r="H16" i="43"/>
  <c r="G16" i="43"/>
  <c r="F16" i="43"/>
  <c r="M11" i="43"/>
  <c r="L11" i="43"/>
  <c r="K11" i="43"/>
  <c r="J11" i="43"/>
  <c r="I11" i="43"/>
  <c r="H11" i="43"/>
  <c r="G11" i="43"/>
  <c r="F11" i="43"/>
  <c r="D11" i="43"/>
  <c r="J43" i="43" l="1"/>
  <c r="H28" i="104" s="1"/>
  <c r="G43" i="43"/>
  <c r="E28" i="104" s="1"/>
  <c r="K43" i="43"/>
  <c r="F43" i="43"/>
  <c r="B58" i="43" s="1"/>
  <c r="B59" i="43" s="1"/>
  <c r="B60" i="43" s="1"/>
  <c r="H43" i="43"/>
  <c r="F28" i="104" s="1"/>
  <c r="L43" i="43"/>
  <c r="J28" i="104" s="1"/>
  <c r="I43" i="43"/>
  <c r="G28" i="104" s="1"/>
  <c r="M43" i="43"/>
  <c r="F44" i="43" l="1"/>
  <c r="D28" i="104" s="1"/>
  <c r="I28" i="104"/>
  <c r="M35" i="9"/>
  <c r="L35" i="9"/>
  <c r="K35" i="9"/>
  <c r="J35" i="9"/>
  <c r="I35" i="9"/>
  <c r="H35" i="9"/>
  <c r="G35" i="9"/>
  <c r="F35" i="9"/>
  <c r="K28" i="104" l="1"/>
  <c r="M28" i="104" s="1"/>
  <c r="M19" i="6"/>
  <c r="L19" i="6"/>
  <c r="K19" i="6"/>
  <c r="J19" i="6"/>
  <c r="I19" i="6"/>
  <c r="H19" i="6"/>
  <c r="G19" i="6"/>
  <c r="F19" i="6"/>
  <c r="L28" i="104" l="1"/>
  <c r="E22" i="33"/>
  <c r="F14" i="25" l="1"/>
  <c r="F15" i="25"/>
  <c r="D16" i="25"/>
  <c r="G16" i="25"/>
  <c r="G40" i="25" s="1"/>
  <c r="H16" i="25"/>
  <c r="H40" i="25" s="1"/>
  <c r="I16" i="25"/>
  <c r="I40" i="25" s="1"/>
  <c r="J16" i="25"/>
  <c r="K16" i="25"/>
  <c r="L16" i="25"/>
  <c r="M16" i="25"/>
  <c r="M40" i="25" s="1"/>
  <c r="N16" i="25"/>
  <c r="D22" i="25"/>
  <c r="L40" i="25" l="1"/>
  <c r="J40" i="25"/>
  <c r="K40" i="25"/>
  <c r="C38" i="2"/>
  <c r="F16" i="25"/>
  <c r="D40" i="25"/>
  <c r="F40" i="25" l="1"/>
  <c r="F44" i="25" l="1"/>
  <c r="B58" i="25"/>
  <c r="B59" i="25" s="1"/>
  <c r="B60" i="25" s="1"/>
  <c r="M57" i="40"/>
  <c r="L57" i="40"/>
  <c r="K57" i="40"/>
  <c r="J57" i="40"/>
  <c r="I57" i="40"/>
  <c r="H57" i="40"/>
  <c r="G57" i="40"/>
  <c r="F57" i="40"/>
  <c r="M41" i="40"/>
  <c r="L41" i="40"/>
  <c r="K41" i="40"/>
  <c r="J41" i="40"/>
  <c r="I41" i="40"/>
  <c r="H41" i="40"/>
  <c r="G41" i="40"/>
  <c r="F41" i="40"/>
  <c r="D41" i="40"/>
  <c r="M34" i="39"/>
  <c r="L34" i="39"/>
  <c r="K34" i="39"/>
  <c r="J34" i="39"/>
  <c r="I34" i="39"/>
  <c r="H34" i="39"/>
  <c r="G34" i="39"/>
  <c r="F34" i="39"/>
  <c r="E34" i="39"/>
  <c r="D18" i="39"/>
  <c r="M11" i="39"/>
  <c r="L11" i="39"/>
  <c r="K11" i="39"/>
  <c r="J11" i="39"/>
  <c r="I11" i="39"/>
  <c r="H11" i="39"/>
  <c r="G11" i="39"/>
  <c r="E11" i="39"/>
  <c r="D11" i="39"/>
  <c r="F10" i="39"/>
  <c r="F9" i="39"/>
  <c r="F8" i="39"/>
  <c r="E36" i="39" l="1"/>
  <c r="I36" i="39"/>
  <c r="G50" i="2" s="1"/>
  <c r="M36" i="39"/>
  <c r="J36" i="39"/>
  <c r="G36" i="39"/>
  <c r="E50" i="2" s="1"/>
  <c r="K36" i="39"/>
  <c r="H36" i="39"/>
  <c r="L36" i="39"/>
  <c r="J50" i="2" s="1"/>
  <c r="E59" i="40"/>
  <c r="B71" i="40" s="1"/>
  <c r="M59" i="40"/>
  <c r="J59" i="40"/>
  <c r="H48" i="2" s="1"/>
  <c r="I59" i="40"/>
  <c r="G48" i="2" s="1"/>
  <c r="G59" i="40"/>
  <c r="K59" i="40"/>
  <c r="I48" i="2" s="1"/>
  <c r="H59" i="40"/>
  <c r="L59" i="40"/>
  <c r="F11" i="39"/>
  <c r="F36" i="39" s="1"/>
  <c r="D36" i="39"/>
  <c r="F59" i="40"/>
  <c r="D59" i="40"/>
  <c r="F40" i="39" l="1"/>
  <c r="L40" i="39" s="1"/>
  <c r="B58" i="39"/>
  <c r="C50" i="2"/>
  <c r="B57" i="39"/>
  <c r="B59" i="39" s="1"/>
  <c r="B60" i="39" s="1"/>
  <c r="F63" i="40"/>
  <c r="J63" i="40" s="1"/>
  <c r="B72" i="40"/>
  <c r="B73" i="40"/>
  <c r="B74" i="40" s="1"/>
  <c r="K40" i="39"/>
  <c r="H50" i="2"/>
  <c r="E48" i="2"/>
  <c r="K63" i="40"/>
  <c r="H63" i="40"/>
  <c r="L63" i="40"/>
  <c r="G63" i="40"/>
  <c r="E49" i="2" s="1"/>
  <c r="M63" i="40"/>
  <c r="M64" i="40" s="1"/>
  <c r="F48" i="2" s="1"/>
  <c r="I63" i="40"/>
  <c r="I51" i="2" l="1"/>
  <c r="K41" i="39"/>
  <c r="H40" i="39"/>
  <c r="G40" i="39"/>
  <c r="E51" i="2" s="1"/>
  <c r="J40" i="39"/>
  <c r="J41" i="39" s="1"/>
  <c r="I40" i="39"/>
  <c r="G51" i="2" s="1"/>
  <c r="M40" i="39"/>
  <c r="F50" i="2" s="1"/>
  <c r="K50" i="2" s="1"/>
  <c r="L50" i="2" s="1"/>
  <c r="H51" i="2"/>
  <c r="J51" i="2"/>
  <c r="L41" i="39"/>
  <c r="I41" i="39"/>
  <c r="I64" i="40"/>
  <c r="G49" i="2"/>
  <c r="J64" i="40"/>
  <c r="H49" i="2"/>
  <c r="H64" i="40"/>
  <c r="F49" i="2"/>
  <c r="K64" i="40"/>
  <c r="I49" i="2"/>
  <c r="L64" i="40"/>
  <c r="J49" i="2"/>
  <c r="F60" i="40"/>
  <c r="D48" i="2" s="1"/>
  <c r="G64" i="40"/>
  <c r="G41" i="39" l="1"/>
  <c r="F51" i="2"/>
  <c r="F37" i="39"/>
  <c r="D50" i="2" s="1"/>
  <c r="K51" i="2"/>
  <c r="J196" i="1"/>
  <c r="M38" i="38" l="1"/>
  <c r="L38" i="38"/>
  <c r="K38" i="38"/>
  <c r="J38" i="38"/>
  <c r="I38" i="38"/>
  <c r="H38" i="38"/>
  <c r="G38" i="38"/>
  <c r="F38" i="38"/>
  <c r="M22" i="38"/>
  <c r="L22" i="38"/>
  <c r="K22" i="38"/>
  <c r="J22" i="38"/>
  <c r="I22" i="38"/>
  <c r="H22" i="38"/>
  <c r="G22" i="38"/>
  <c r="F22" i="38"/>
  <c r="D22" i="38"/>
  <c r="M16" i="38"/>
  <c r="L16" i="38"/>
  <c r="K16" i="38"/>
  <c r="J16" i="38"/>
  <c r="I16" i="38"/>
  <c r="H16" i="38"/>
  <c r="G16" i="38"/>
  <c r="D16" i="38"/>
  <c r="F15" i="38"/>
  <c r="F14" i="38"/>
  <c r="F13" i="38"/>
  <c r="F12" i="38"/>
  <c r="D40" i="38" l="1"/>
  <c r="L40" i="38"/>
  <c r="J33" i="2" s="1"/>
  <c r="J40" i="38"/>
  <c r="H33" i="2" s="1"/>
  <c r="I40" i="38"/>
  <c r="G33" i="2" s="1"/>
  <c r="H40" i="38"/>
  <c r="F33" i="2" s="1"/>
  <c r="C33" i="2"/>
  <c r="G40" i="38"/>
  <c r="E33" i="2" s="1"/>
  <c r="K40" i="38"/>
  <c r="I33" i="2" s="1"/>
  <c r="F16" i="38"/>
  <c r="F40" i="38" s="1"/>
  <c r="B51" i="38" s="1"/>
  <c r="B52" i="38" s="1"/>
  <c r="B53" i="38" s="1"/>
  <c r="M40" i="38"/>
  <c r="M22" i="37"/>
  <c r="L22" i="37"/>
  <c r="K22" i="37"/>
  <c r="J22" i="37"/>
  <c r="I22" i="37"/>
  <c r="H22" i="37"/>
  <c r="G22" i="37"/>
  <c r="F22" i="37"/>
  <c r="E22" i="37"/>
  <c r="D22" i="37"/>
  <c r="M16" i="37"/>
  <c r="L16" i="37"/>
  <c r="K16" i="37"/>
  <c r="J16" i="37"/>
  <c r="I16" i="37"/>
  <c r="H16" i="37"/>
  <c r="G16" i="37"/>
  <c r="E16" i="37"/>
  <c r="D16" i="37"/>
  <c r="F15" i="37"/>
  <c r="F14" i="37"/>
  <c r="F13" i="37"/>
  <c r="F12" i="37"/>
  <c r="F11" i="37"/>
  <c r="D33" i="2" l="1"/>
  <c r="E40" i="37"/>
  <c r="K33" i="2"/>
  <c r="G40" i="37"/>
  <c r="E42" i="2" s="1"/>
  <c r="K40" i="37"/>
  <c r="I42" i="2" s="1"/>
  <c r="H40" i="37"/>
  <c r="F42" i="2" s="1"/>
  <c r="L40" i="37"/>
  <c r="J42" i="2" s="1"/>
  <c r="J40" i="37"/>
  <c r="H42" i="2" s="1"/>
  <c r="I40" i="37"/>
  <c r="G42" i="2" s="1"/>
  <c r="M40" i="37"/>
  <c r="D40" i="37"/>
  <c r="F16" i="37"/>
  <c r="F40" i="37" s="1"/>
  <c r="B65" i="37" s="1"/>
  <c r="B66" i="37" s="1"/>
  <c r="B67" i="37" s="1"/>
  <c r="C42" i="2" l="1"/>
  <c r="F44" i="37"/>
  <c r="H44" i="37" s="1"/>
  <c r="D42" i="2"/>
  <c r="M33" i="36"/>
  <c r="L33" i="36"/>
  <c r="K33" i="36"/>
  <c r="J33" i="36"/>
  <c r="I33" i="36"/>
  <c r="H33" i="36"/>
  <c r="G33" i="36"/>
  <c r="F33" i="36"/>
  <c r="M17" i="36"/>
  <c r="L17" i="36"/>
  <c r="K17" i="36"/>
  <c r="J17" i="36"/>
  <c r="I17" i="36"/>
  <c r="H17" i="36"/>
  <c r="G17" i="36"/>
  <c r="F17" i="36"/>
  <c r="D17" i="36"/>
  <c r="M12" i="36"/>
  <c r="L12" i="36"/>
  <c r="K12" i="36"/>
  <c r="J12" i="36"/>
  <c r="I12" i="36"/>
  <c r="H12" i="36"/>
  <c r="G12" i="36"/>
  <c r="D12" i="36"/>
  <c r="F12" i="36"/>
  <c r="I44" i="37" l="1"/>
  <c r="I54" i="37" s="1"/>
  <c r="I57" i="37" s="1"/>
  <c r="I58" i="37" s="1"/>
  <c r="G44" i="37"/>
  <c r="G54" i="37" s="1"/>
  <c r="G57" i="37" s="1"/>
  <c r="G58" i="37" s="1"/>
  <c r="L44" i="37"/>
  <c r="K44" i="37"/>
  <c r="J44" i="37"/>
  <c r="J54" i="37" s="1"/>
  <c r="J57" i="37" s="1"/>
  <c r="J58" i="37" s="1"/>
  <c r="M44" i="37"/>
  <c r="M45" i="37" s="1"/>
  <c r="F43" i="2"/>
  <c r="H54" i="37"/>
  <c r="H57" i="37" s="1"/>
  <c r="H58" i="37" s="1"/>
  <c r="D35" i="36"/>
  <c r="F35" i="36"/>
  <c r="B43" i="36" s="1"/>
  <c r="B44" i="36" s="1"/>
  <c r="B45" i="36" s="1"/>
  <c r="G35" i="36"/>
  <c r="E9" i="2" s="1"/>
  <c r="K35" i="36"/>
  <c r="I9" i="2" s="1"/>
  <c r="H35" i="36"/>
  <c r="F9" i="2" s="1"/>
  <c r="L35" i="36"/>
  <c r="J9" i="2" s="1"/>
  <c r="J35" i="36"/>
  <c r="H9" i="2" s="1"/>
  <c r="C9" i="2"/>
  <c r="I35" i="36"/>
  <c r="G9" i="2" s="1"/>
  <c r="M35" i="36"/>
  <c r="L45" i="37"/>
  <c r="J14" i="3"/>
  <c r="J10" i="3"/>
  <c r="J2" i="3"/>
  <c r="H43" i="2" l="1"/>
  <c r="D9" i="2"/>
  <c r="K9" i="2"/>
  <c r="L9" i="2" s="1"/>
  <c r="K45" i="37"/>
  <c r="I43" i="2"/>
  <c r="J45" i="37"/>
  <c r="H45" i="37"/>
  <c r="G45" i="37"/>
  <c r="E43" i="2"/>
  <c r="I45" i="37"/>
  <c r="G43" i="2"/>
  <c r="I2" i="3" l="1"/>
  <c r="I10" i="3"/>
  <c r="I14" i="3"/>
  <c r="M38" i="34" l="1"/>
  <c r="L38" i="34"/>
  <c r="K38" i="34"/>
  <c r="J38" i="34"/>
  <c r="I38" i="34"/>
  <c r="H38" i="34"/>
  <c r="G38" i="34"/>
  <c r="M22" i="34"/>
  <c r="L22" i="34"/>
  <c r="K22" i="34"/>
  <c r="J22" i="34"/>
  <c r="I22" i="34"/>
  <c r="H22" i="34"/>
  <c r="G22" i="34"/>
  <c r="F22" i="34"/>
  <c r="D22" i="34"/>
  <c r="M16" i="34"/>
  <c r="L16" i="34"/>
  <c r="K16" i="34"/>
  <c r="J16" i="34"/>
  <c r="I16" i="34"/>
  <c r="H16" i="34"/>
  <c r="G16" i="34"/>
  <c r="D16" i="34"/>
  <c r="F15" i="34"/>
  <c r="F14" i="34"/>
  <c r="F13" i="34"/>
  <c r="F12" i="34"/>
  <c r="F11" i="34"/>
  <c r="F10" i="34"/>
  <c r="F9" i="34"/>
  <c r="F8" i="34"/>
  <c r="F7" i="34"/>
  <c r="F38" i="34" l="1"/>
  <c r="D40" i="34"/>
  <c r="I40" i="34"/>
  <c r="G26" i="104" s="1"/>
  <c r="M40" i="34"/>
  <c r="L40" i="34"/>
  <c r="J26" i="104" s="1"/>
  <c r="J40" i="34"/>
  <c r="H26" i="104" s="1"/>
  <c r="H40" i="34"/>
  <c r="F26" i="104" s="1"/>
  <c r="G40" i="34"/>
  <c r="E26" i="104" s="1"/>
  <c r="K40" i="34"/>
  <c r="I26" i="104" s="1"/>
  <c r="F16" i="34"/>
  <c r="K26" i="104" l="1"/>
  <c r="L26" i="104" s="1"/>
  <c r="F40" i="34"/>
  <c r="D26" i="104" l="1"/>
  <c r="B48" i="34"/>
  <c r="B49" i="34" s="1"/>
  <c r="B50" i="34" s="1"/>
  <c r="I45" i="2"/>
  <c r="I38" i="2"/>
  <c r="G38" i="2"/>
  <c r="D49" i="2"/>
  <c r="D45" i="2"/>
  <c r="K43" i="2"/>
  <c r="D41" i="2"/>
  <c r="I39" i="2"/>
  <c r="D39" i="2"/>
  <c r="F22" i="33" l="1"/>
  <c r="M38" i="33"/>
  <c r="L38" i="33"/>
  <c r="K38" i="33"/>
  <c r="J38" i="33"/>
  <c r="I38" i="33"/>
  <c r="H38" i="33"/>
  <c r="G38" i="33"/>
  <c r="F38" i="33"/>
  <c r="E38" i="33"/>
  <c r="M22" i="33"/>
  <c r="L22" i="33"/>
  <c r="K22" i="33"/>
  <c r="J22" i="33"/>
  <c r="I22" i="33"/>
  <c r="H22" i="33"/>
  <c r="G22" i="33"/>
  <c r="D22" i="33"/>
  <c r="M16" i="33"/>
  <c r="L16" i="33"/>
  <c r="K16" i="33"/>
  <c r="J16" i="33"/>
  <c r="I16" i="33"/>
  <c r="H16" i="33"/>
  <c r="G16" i="33"/>
  <c r="E16" i="33"/>
  <c r="D16" i="33"/>
  <c r="F15" i="33"/>
  <c r="F14" i="33"/>
  <c r="F13" i="33"/>
  <c r="F12" i="33"/>
  <c r="F11" i="33"/>
  <c r="F10" i="33"/>
  <c r="F9" i="33"/>
  <c r="F8" i="33"/>
  <c r="M38" i="32"/>
  <c r="L38" i="32"/>
  <c r="K38" i="32"/>
  <c r="J38" i="32"/>
  <c r="I38" i="32"/>
  <c r="H38" i="32"/>
  <c r="G38" i="32"/>
  <c r="F38" i="32"/>
  <c r="E38" i="32"/>
  <c r="M22" i="32"/>
  <c r="L22" i="32"/>
  <c r="K22" i="32"/>
  <c r="J22" i="32"/>
  <c r="I22" i="32"/>
  <c r="H22" i="32"/>
  <c r="G22" i="32"/>
  <c r="F22" i="32"/>
  <c r="E22" i="32"/>
  <c r="D22" i="32"/>
  <c r="M16" i="32"/>
  <c r="L16" i="32"/>
  <c r="K16" i="32"/>
  <c r="J16" i="32"/>
  <c r="I16" i="32"/>
  <c r="H16" i="32"/>
  <c r="G16" i="32"/>
  <c r="E16" i="32"/>
  <c r="D16" i="32"/>
  <c r="F15" i="32"/>
  <c r="F14" i="32"/>
  <c r="F13" i="32"/>
  <c r="F12" i="32"/>
  <c r="D40" i="32" l="1"/>
  <c r="G40" i="33"/>
  <c r="E31" i="104" s="1"/>
  <c r="K40" i="33"/>
  <c r="I31" i="104" s="1"/>
  <c r="H40" i="32"/>
  <c r="F25" i="104" s="1"/>
  <c r="E40" i="32"/>
  <c r="I40" i="32"/>
  <c r="G25" i="104" s="1"/>
  <c r="M40" i="32"/>
  <c r="D40" i="33"/>
  <c r="H40" i="33"/>
  <c r="F31" i="104" s="1"/>
  <c r="L40" i="33"/>
  <c r="J31" i="104" s="1"/>
  <c r="J40" i="32"/>
  <c r="H25" i="104" s="1"/>
  <c r="E40" i="33"/>
  <c r="I40" i="33"/>
  <c r="G31" i="104" s="1"/>
  <c r="M40" i="33"/>
  <c r="L40" i="32"/>
  <c r="G40" i="32"/>
  <c r="E25" i="104" s="1"/>
  <c r="K40" i="32"/>
  <c r="I25" i="104" s="1"/>
  <c r="J40" i="33"/>
  <c r="H31" i="104" s="1"/>
  <c r="F16" i="32"/>
  <c r="F40" i="32" s="1"/>
  <c r="F16" i="33"/>
  <c r="C31" i="104" l="1"/>
  <c r="B47" i="33"/>
  <c r="D25" i="104"/>
  <c r="B48" i="32"/>
  <c r="B49" i="32" s="1"/>
  <c r="B50" i="32" s="1"/>
  <c r="C25" i="104"/>
  <c r="B47" i="32"/>
  <c r="K25" i="104"/>
  <c r="L25" i="104" s="1"/>
  <c r="K31" i="104"/>
  <c r="L31" i="104" s="1"/>
  <c r="F40" i="33"/>
  <c r="M39" i="31"/>
  <c r="L39" i="31"/>
  <c r="K39" i="31"/>
  <c r="J39" i="31"/>
  <c r="I39" i="31"/>
  <c r="H39" i="31"/>
  <c r="G39" i="31"/>
  <c r="F39" i="31"/>
  <c r="D22" i="31"/>
  <c r="D16" i="31"/>
  <c r="D31" i="104" l="1"/>
  <c r="B48" i="33"/>
  <c r="B49" i="33" s="1"/>
  <c r="B50" i="33" s="1"/>
  <c r="M41" i="31"/>
  <c r="J41" i="31"/>
  <c r="I41" i="31"/>
  <c r="D41" i="31"/>
  <c r="G41" i="31"/>
  <c r="K41" i="31"/>
  <c r="H41" i="31"/>
  <c r="L41" i="31"/>
  <c r="F16" i="31"/>
  <c r="F41" i="31" s="1"/>
  <c r="B55" i="31" s="1"/>
  <c r="B56" i="31" s="1"/>
  <c r="B57" i="31" s="1"/>
  <c r="K42" i="2"/>
  <c r="L42" i="2" l="1"/>
  <c r="G45" i="2"/>
  <c r="E45" i="2"/>
  <c r="H45" i="2" l="1"/>
  <c r="F45" i="2"/>
  <c r="K45" i="2" l="1"/>
  <c r="F51" i="21"/>
  <c r="M44" i="21"/>
  <c r="M46" i="21"/>
  <c r="D44" i="2" l="1"/>
  <c r="M43" i="21"/>
  <c r="M40" i="29" l="1"/>
  <c r="L40" i="29"/>
  <c r="K40" i="29"/>
  <c r="J40" i="29"/>
  <c r="I40" i="29"/>
  <c r="H40" i="29"/>
  <c r="G40" i="29"/>
  <c r="F40" i="29"/>
  <c r="E40" i="29"/>
  <c r="D24" i="29"/>
  <c r="N16" i="29"/>
  <c r="M16" i="29"/>
  <c r="L16" i="29"/>
  <c r="K16" i="29"/>
  <c r="J16" i="29"/>
  <c r="I16" i="29"/>
  <c r="H16" i="29"/>
  <c r="G16" i="29"/>
  <c r="E16" i="29"/>
  <c r="D16" i="29"/>
  <c r="F15" i="29"/>
  <c r="F14" i="29"/>
  <c r="F13" i="29"/>
  <c r="F12" i="29"/>
  <c r="F11" i="29"/>
  <c r="F10" i="29"/>
  <c r="F9" i="29"/>
  <c r="F8" i="29"/>
  <c r="F7" i="29"/>
  <c r="E42" i="29" l="1"/>
  <c r="J42" i="29"/>
  <c r="I42" i="29"/>
  <c r="G42" i="29"/>
  <c r="K42" i="29"/>
  <c r="M42" i="29"/>
  <c r="B47" i="29" s="1"/>
  <c r="H42" i="29"/>
  <c r="L42" i="29"/>
  <c r="D42" i="29"/>
  <c r="F16" i="29"/>
  <c r="F42" i="29" s="1"/>
  <c r="H19" i="28"/>
  <c r="H25" i="28"/>
  <c r="F43" i="29" l="1"/>
  <c r="D8" i="104" s="1"/>
  <c r="E43" i="29"/>
  <c r="C8" i="104" s="1"/>
  <c r="J8" i="104"/>
  <c r="G8" i="104"/>
  <c r="I8" i="104"/>
  <c r="H8" i="104"/>
  <c r="E8" i="104"/>
  <c r="M37" i="22"/>
  <c r="L37" i="22"/>
  <c r="K37" i="22"/>
  <c r="J37" i="22"/>
  <c r="I37" i="22"/>
  <c r="H37" i="22"/>
  <c r="G37" i="22"/>
  <c r="F37" i="22"/>
  <c r="M22" i="22"/>
  <c r="L22" i="22"/>
  <c r="K22" i="22"/>
  <c r="J22" i="22"/>
  <c r="I22" i="22"/>
  <c r="H22" i="22"/>
  <c r="G22" i="22"/>
  <c r="F22" i="22"/>
  <c r="D22" i="22"/>
  <c r="M16" i="22"/>
  <c r="L16" i="22"/>
  <c r="K16" i="22"/>
  <c r="J16" i="22"/>
  <c r="I16" i="22"/>
  <c r="H16" i="22"/>
  <c r="G16" i="22"/>
  <c r="D16" i="22"/>
  <c r="F15" i="22"/>
  <c r="F14" i="22"/>
  <c r="F13" i="22"/>
  <c r="F12" i="22"/>
  <c r="F11" i="22"/>
  <c r="M36" i="21"/>
  <c r="L36" i="21"/>
  <c r="K36" i="21"/>
  <c r="J36" i="21"/>
  <c r="I36" i="21"/>
  <c r="H36" i="21"/>
  <c r="G36" i="21"/>
  <c r="F36" i="21"/>
  <c r="M21" i="21"/>
  <c r="L21" i="21"/>
  <c r="K21" i="21"/>
  <c r="J21" i="21"/>
  <c r="I21" i="21"/>
  <c r="H21" i="21"/>
  <c r="G21" i="21"/>
  <c r="F21" i="21"/>
  <c r="D21" i="21"/>
  <c r="M15" i="21"/>
  <c r="L15" i="21"/>
  <c r="K15" i="21"/>
  <c r="J15" i="21"/>
  <c r="I15" i="21"/>
  <c r="H15" i="21"/>
  <c r="G15" i="21"/>
  <c r="D15" i="21"/>
  <c r="E38" i="21" l="1"/>
  <c r="I38" i="21"/>
  <c r="G44" i="2" s="1"/>
  <c r="J38" i="21"/>
  <c r="H44" i="2" s="1"/>
  <c r="E39" i="22"/>
  <c r="G38" i="21"/>
  <c r="K38" i="21"/>
  <c r="I44" i="2" s="1"/>
  <c r="M38" i="21"/>
  <c r="H38" i="21"/>
  <c r="F44" i="2" s="1"/>
  <c r="L38" i="21"/>
  <c r="J44" i="2" s="1"/>
  <c r="H39" i="22"/>
  <c r="F46" i="2" s="1"/>
  <c r="L39" i="22"/>
  <c r="J46" i="2" s="1"/>
  <c r="I39" i="22"/>
  <c r="G46" i="2" s="1"/>
  <c r="M39" i="22"/>
  <c r="D39" i="22"/>
  <c r="J39" i="22"/>
  <c r="H46" i="2" s="1"/>
  <c r="G39" i="22"/>
  <c r="E46" i="2" s="1"/>
  <c r="K39" i="22"/>
  <c r="I46" i="2" s="1"/>
  <c r="D38" i="21"/>
  <c r="F16" i="22"/>
  <c r="F39" i="22" s="1"/>
  <c r="F15" i="21"/>
  <c r="M40" i="28"/>
  <c r="L40" i="28"/>
  <c r="K40" i="28"/>
  <c r="J40" i="28"/>
  <c r="I40" i="28"/>
  <c r="H40" i="28"/>
  <c r="H42" i="28" s="1"/>
  <c r="G40" i="28"/>
  <c r="F40" i="28"/>
  <c r="M25" i="28"/>
  <c r="L25" i="28"/>
  <c r="K25" i="28"/>
  <c r="J25" i="28"/>
  <c r="I25" i="28"/>
  <c r="G25" i="28"/>
  <c r="F25" i="28"/>
  <c r="D25" i="28"/>
  <c r="M19" i="28"/>
  <c r="L19" i="28"/>
  <c r="K19" i="28"/>
  <c r="J19" i="28"/>
  <c r="I19" i="28"/>
  <c r="G19" i="28"/>
  <c r="D19" i="28"/>
  <c r="F43" i="22" l="1"/>
  <c r="B55" i="22"/>
  <c r="C44" i="2"/>
  <c r="C46" i="2"/>
  <c r="B54" i="22"/>
  <c r="J47" i="22"/>
  <c r="I47" i="22"/>
  <c r="G47" i="22"/>
  <c r="E44" i="2"/>
  <c r="G52" i="21"/>
  <c r="K46" i="2"/>
  <c r="L46" i="2" s="1"/>
  <c r="D46" i="2"/>
  <c r="I42" i="28"/>
  <c r="M42" i="28"/>
  <c r="F38" i="21"/>
  <c r="B60" i="21" s="1"/>
  <c r="B61" i="21" s="1"/>
  <c r="B62" i="21" s="1"/>
  <c r="J42" i="28"/>
  <c r="G42" i="28"/>
  <c r="K42" i="28"/>
  <c r="L42" i="28"/>
  <c r="F19" i="28"/>
  <c r="F42" i="28" s="1"/>
  <c r="B75" i="28" s="1"/>
  <c r="B76" i="28" s="1"/>
  <c r="B77" i="28" s="1"/>
  <c r="D42" i="28"/>
  <c r="L44" i="22"/>
  <c r="L52" i="21"/>
  <c r="M42" i="21"/>
  <c r="M51" i="21" s="1"/>
  <c r="M39" i="27"/>
  <c r="L39" i="27"/>
  <c r="K39" i="27"/>
  <c r="J39" i="27"/>
  <c r="I39" i="27"/>
  <c r="H39" i="27"/>
  <c r="G39" i="27"/>
  <c r="F39" i="27"/>
  <c r="E39" i="27"/>
  <c r="M22" i="27"/>
  <c r="L22" i="27"/>
  <c r="K22" i="27"/>
  <c r="J22" i="27"/>
  <c r="I22" i="27"/>
  <c r="H22" i="27"/>
  <c r="G22" i="27"/>
  <c r="F22" i="27"/>
  <c r="D22" i="27"/>
  <c r="M16" i="27"/>
  <c r="L16" i="27"/>
  <c r="K16" i="27"/>
  <c r="J16" i="27"/>
  <c r="I16" i="27"/>
  <c r="H16" i="27"/>
  <c r="G16" i="27"/>
  <c r="D16" i="27"/>
  <c r="F15" i="27"/>
  <c r="F14" i="27"/>
  <c r="F13" i="27"/>
  <c r="F12" i="27"/>
  <c r="F11" i="27"/>
  <c r="F10" i="27"/>
  <c r="F9" i="27"/>
  <c r="F8" i="27"/>
  <c r="B56" i="22" l="1"/>
  <c r="B57" i="22" s="1"/>
  <c r="M52" i="21"/>
  <c r="F46" i="28"/>
  <c r="H46" i="28" s="1"/>
  <c r="G41" i="27"/>
  <c r="E16" i="104" s="1"/>
  <c r="K41" i="27"/>
  <c r="I16" i="104" s="1"/>
  <c r="H41" i="27"/>
  <c r="F16" i="104" s="1"/>
  <c r="L41" i="27"/>
  <c r="J16" i="104" s="1"/>
  <c r="E41" i="27"/>
  <c r="I41" i="27"/>
  <c r="G16" i="104" s="1"/>
  <c r="M41" i="27"/>
  <c r="J41" i="27"/>
  <c r="H16" i="104" s="1"/>
  <c r="M44" i="22"/>
  <c r="D41" i="27"/>
  <c r="J44" i="22"/>
  <c r="I44" i="22"/>
  <c r="G44" i="22"/>
  <c r="K44" i="22"/>
  <c r="K48" i="2"/>
  <c r="L48" i="2" s="1"/>
  <c r="F16" i="27"/>
  <c r="F41" i="27" s="1"/>
  <c r="J52" i="21"/>
  <c r="H52" i="21"/>
  <c r="K52" i="21"/>
  <c r="C16" i="104" l="1"/>
  <c r="B48" i="27"/>
  <c r="D16" i="104"/>
  <c r="B49" i="27"/>
  <c r="B50" i="27" s="1"/>
  <c r="B51" i="27" s="1"/>
  <c r="K16" i="104"/>
  <c r="L16" i="104" s="1"/>
  <c r="L46" i="28"/>
  <c r="G46" i="28"/>
  <c r="I46" i="28"/>
  <c r="J46" i="28"/>
  <c r="M46" i="28"/>
  <c r="K46" i="28"/>
  <c r="H44" i="22"/>
  <c r="K49" i="2"/>
  <c r="M37" i="26"/>
  <c r="L37" i="26"/>
  <c r="K37" i="26"/>
  <c r="J37" i="26"/>
  <c r="I37" i="26"/>
  <c r="H37" i="26"/>
  <c r="G37" i="26"/>
  <c r="F37" i="26"/>
  <c r="E37" i="26"/>
  <c r="M22" i="26"/>
  <c r="L22" i="26"/>
  <c r="K22" i="26"/>
  <c r="J22" i="26"/>
  <c r="I22" i="26"/>
  <c r="H22" i="26"/>
  <c r="G22" i="26"/>
  <c r="F22" i="26"/>
  <c r="E22" i="26"/>
  <c r="D22" i="26"/>
  <c r="M16" i="26"/>
  <c r="L16" i="26"/>
  <c r="K16" i="26"/>
  <c r="J16" i="26"/>
  <c r="I16" i="26"/>
  <c r="H16" i="26"/>
  <c r="G16" i="26"/>
  <c r="E16" i="26"/>
  <c r="D16" i="26"/>
  <c r="F15" i="26"/>
  <c r="F14" i="26"/>
  <c r="F13" i="26"/>
  <c r="F12" i="26"/>
  <c r="F11" i="26"/>
  <c r="F10" i="26"/>
  <c r="F9" i="26"/>
  <c r="F8" i="26"/>
  <c r="F7" i="26"/>
  <c r="G60" i="2" l="1"/>
  <c r="H60" i="2"/>
  <c r="F60" i="2"/>
  <c r="F41" i="2"/>
  <c r="H57" i="28"/>
  <c r="J39" i="26"/>
  <c r="J44" i="26" s="1"/>
  <c r="D39" i="26"/>
  <c r="G39" i="26"/>
  <c r="E52" i="2" s="1"/>
  <c r="K39" i="26"/>
  <c r="H39" i="26"/>
  <c r="F52" i="2" s="1"/>
  <c r="L39" i="26"/>
  <c r="E39" i="26"/>
  <c r="I39" i="26"/>
  <c r="I44" i="26" s="1"/>
  <c r="M39" i="26"/>
  <c r="I47" i="28"/>
  <c r="M47" i="28"/>
  <c r="G47" i="28"/>
  <c r="J47" i="28"/>
  <c r="L47" i="28"/>
  <c r="K47" i="28"/>
  <c r="H47" i="28"/>
  <c r="F16" i="26"/>
  <c r="F39" i="26" s="1"/>
  <c r="E38" i="2"/>
  <c r="C52" i="2" l="1"/>
  <c r="C56" i="2" s="1"/>
  <c r="B51" i="26"/>
  <c r="H41" i="2"/>
  <c r="J57" i="28"/>
  <c r="D52" i="2"/>
  <c r="B52" i="26"/>
  <c r="B53" i="26" s="1"/>
  <c r="B54" i="26" s="1"/>
  <c r="K54" i="28"/>
  <c r="K55" i="28"/>
  <c r="G41" i="2"/>
  <c r="I57" i="28"/>
  <c r="G52" i="2"/>
  <c r="H52" i="2"/>
  <c r="F43" i="26"/>
  <c r="M43" i="26" s="1"/>
  <c r="M44" i="26" s="1"/>
  <c r="F38" i="2"/>
  <c r="D59" i="2" l="1"/>
  <c r="F59" i="2"/>
  <c r="F63" i="2" s="1"/>
  <c r="F40" i="2"/>
  <c r="K57" i="28"/>
  <c r="D40" i="2"/>
  <c r="K52" i="2"/>
  <c r="L52" i="2" s="1"/>
  <c r="G43" i="26"/>
  <c r="E53" i="2" s="1"/>
  <c r="H43" i="26"/>
  <c r="F53" i="2" s="1"/>
  <c r="K43" i="26"/>
  <c r="L43" i="26"/>
  <c r="D38" i="2"/>
  <c r="H38" i="2"/>
  <c r="D56" i="2" l="1"/>
  <c r="E87" i="1"/>
  <c r="F64" i="2"/>
  <c r="G44" i="26"/>
  <c r="L44" i="26"/>
  <c r="J53" i="2"/>
  <c r="J56" i="2" s="1"/>
  <c r="J57" i="2" s="1"/>
  <c r="K44" i="26"/>
  <c r="I53" i="2"/>
  <c r="H44" i="26"/>
  <c r="J44" i="25"/>
  <c r="M44" i="25"/>
  <c r="K44" i="25"/>
  <c r="H44" i="25"/>
  <c r="F39" i="2" s="1"/>
  <c r="F56" i="2" s="1"/>
  <c r="F57" i="2" s="1"/>
  <c r="L44" i="25"/>
  <c r="I44" i="25"/>
  <c r="G44" i="25"/>
  <c r="M34" i="18"/>
  <c r="L34" i="18"/>
  <c r="K34" i="18"/>
  <c r="J34" i="18"/>
  <c r="I34" i="18"/>
  <c r="H34" i="18"/>
  <c r="G34" i="18"/>
  <c r="F34" i="18"/>
  <c r="M18" i="18"/>
  <c r="L18" i="18"/>
  <c r="K18" i="18"/>
  <c r="J18" i="18"/>
  <c r="I18" i="18"/>
  <c r="H18" i="18"/>
  <c r="G18" i="18"/>
  <c r="F18" i="18"/>
  <c r="D18" i="18"/>
  <c r="M12" i="18"/>
  <c r="L12" i="18"/>
  <c r="K12" i="18"/>
  <c r="J12" i="18"/>
  <c r="I12" i="18"/>
  <c r="H12" i="18"/>
  <c r="G12" i="18"/>
  <c r="D12" i="18"/>
  <c r="F11" i="18"/>
  <c r="F10" i="18"/>
  <c r="F9" i="18"/>
  <c r="F8" i="18"/>
  <c r="F7" i="18"/>
  <c r="I16" i="1" l="1"/>
  <c r="G36" i="18"/>
  <c r="E22" i="2" s="1"/>
  <c r="K36" i="18"/>
  <c r="I22" i="2" s="1"/>
  <c r="H36" i="18"/>
  <c r="F22" i="2" s="1"/>
  <c r="L36" i="18"/>
  <c r="J22" i="2" s="1"/>
  <c r="J36" i="18"/>
  <c r="H22" i="2" s="1"/>
  <c r="C22" i="2"/>
  <c r="I36" i="18"/>
  <c r="G22" i="2" s="1"/>
  <c r="M36" i="18"/>
  <c r="M45" i="25"/>
  <c r="L45" i="25"/>
  <c r="K45" i="25"/>
  <c r="K53" i="2"/>
  <c r="D36" i="18"/>
  <c r="F12" i="18"/>
  <c r="F36" i="18" s="1"/>
  <c r="B44" i="18" s="1"/>
  <c r="B45" i="18" s="1"/>
  <c r="B46" i="18" s="1"/>
  <c r="H45" i="25"/>
  <c r="G39" i="2"/>
  <c r="I45" i="25"/>
  <c r="H39" i="2"/>
  <c r="J45" i="25"/>
  <c r="E39" i="2"/>
  <c r="G45" i="25"/>
  <c r="M38" i="17"/>
  <c r="L38" i="17"/>
  <c r="K38" i="17"/>
  <c r="J38" i="17"/>
  <c r="I38" i="17"/>
  <c r="H38" i="17"/>
  <c r="G38" i="17"/>
  <c r="F38" i="17"/>
  <c r="E38" i="17"/>
  <c r="M22" i="17"/>
  <c r="L22" i="17"/>
  <c r="K22" i="17"/>
  <c r="J22" i="17"/>
  <c r="I22" i="17"/>
  <c r="H22" i="17"/>
  <c r="G22" i="17"/>
  <c r="F22" i="17"/>
  <c r="E22" i="17"/>
  <c r="D22" i="17"/>
  <c r="N16" i="17"/>
  <c r="M16" i="17"/>
  <c r="L16" i="17"/>
  <c r="K16" i="17"/>
  <c r="J16" i="17"/>
  <c r="I16" i="17"/>
  <c r="H16" i="17"/>
  <c r="G16" i="17"/>
  <c r="E16" i="17"/>
  <c r="D16" i="17"/>
  <c r="F15" i="17"/>
  <c r="F14" i="17"/>
  <c r="F13" i="17"/>
  <c r="F12" i="17"/>
  <c r="F11" i="17"/>
  <c r="F10" i="17"/>
  <c r="F9" i="17"/>
  <c r="F8" i="17"/>
  <c r="F7" i="17"/>
  <c r="D22" i="2" l="1"/>
  <c r="D40" i="17"/>
  <c r="H40" i="17"/>
  <c r="F12" i="104" s="1"/>
  <c r="L40" i="17"/>
  <c r="K40" i="17"/>
  <c r="I12" i="104" s="1"/>
  <c r="E40" i="17"/>
  <c r="I40" i="17"/>
  <c r="G12" i="104" s="1"/>
  <c r="M40" i="17"/>
  <c r="G40" i="17"/>
  <c r="E12" i="104" s="1"/>
  <c r="J40" i="17"/>
  <c r="H12" i="104" s="1"/>
  <c r="K22" i="2"/>
  <c r="L22" i="2" s="1"/>
  <c r="F16" i="17"/>
  <c r="F40" i="17" s="1"/>
  <c r="K39" i="2"/>
  <c r="C12" i="104" l="1"/>
  <c r="B47" i="17"/>
  <c r="D12" i="104"/>
  <c r="B48" i="17"/>
  <c r="B49" i="17" s="1"/>
  <c r="B50" i="17" s="1"/>
  <c r="K12" i="104"/>
  <c r="L12" i="104" s="1"/>
  <c r="M38" i="16"/>
  <c r="L38" i="16"/>
  <c r="K38" i="16"/>
  <c r="J38" i="16"/>
  <c r="I38" i="16"/>
  <c r="H38" i="16"/>
  <c r="G38" i="16"/>
  <c r="F38" i="16"/>
  <c r="M22" i="16"/>
  <c r="L22" i="16"/>
  <c r="K22" i="16"/>
  <c r="J22" i="16"/>
  <c r="I22" i="16"/>
  <c r="H22" i="16"/>
  <c r="G22" i="16"/>
  <c r="F22" i="16"/>
  <c r="D22" i="16"/>
  <c r="M16" i="16"/>
  <c r="L16" i="16"/>
  <c r="K16" i="16"/>
  <c r="J16" i="16"/>
  <c r="I16" i="16"/>
  <c r="H16" i="16"/>
  <c r="G16" i="16"/>
  <c r="D16" i="16"/>
  <c r="F15" i="16"/>
  <c r="F14" i="16"/>
  <c r="F13" i="16"/>
  <c r="F12" i="16"/>
  <c r="F11" i="16"/>
  <c r="F10" i="16"/>
  <c r="F9" i="16"/>
  <c r="F8" i="16"/>
  <c r="F7" i="16"/>
  <c r="F16" i="16" l="1"/>
  <c r="F40" i="16" s="1"/>
  <c r="H40" i="16"/>
  <c r="F24" i="2" s="1"/>
  <c r="C24" i="2"/>
  <c r="I40" i="16"/>
  <c r="G24" i="2" s="1"/>
  <c r="M40" i="16"/>
  <c r="L40" i="16"/>
  <c r="J40" i="16"/>
  <c r="H24" i="2" s="1"/>
  <c r="D40" i="16"/>
  <c r="G40" i="16"/>
  <c r="E24" i="2" s="1"/>
  <c r="K40" i="16"/>
  <c r="I24" i="2" s="1"/>
  <c r="M38" i="15"/>
  <c r="L38" i="15"/>
  <c r="K38" i="15"/>
  <c r="J38" i="15"/>
  <c r="I38" i="15"/>
  <c r="H38" i="15"/>
  <c r="G38" i="15"/>
  <c r="F38" i="15"/>
  <c r="E38" i="15"/>
  <c r="M22" i="15"/>
  <c r="L22" i="15"/>
  <c r="K22" i="15"/>
  <c r="J22" i="15"/>
  <c r="I22" i="15"/>
  <c r="H22" i="15"/>
  <c r="G22" i="15"/>
  <c r="F22" i="15"/>
  <c r="E22" i="15"/>
  <c r="D22" i="15"/>
  <c r="N16" i="15"/>
  <c r="M16" i="15"/>
  <c r="L16" i="15"/>
  <c r="K16" i="15"/>
  <c r="J16" i="15"/>
  <c r="I16" i="15"/>
  <c r="H16" i="15"/>
  <c r="G16" i="15"/>
  <c r="E16" i="15"/>
  <c r="D16" i="15"/>
  <c r="F15" i="15"/>
  <c r="F14" i="15"/>
  <c r="F13" i="15"/>
  <c r="F12" i="15"/>
  <c r="F11" i="15"/>
  <c r="F10" i="15"/>
  <c r="F9" i="15"/>
  <c r="F8" i="15"/>
  <c r="F7" i="15"/>
  <c r="D24" i="2" l="1"/>
  <c r="B48" i="16"/>
  <c r="B49" i="16" s="1"/>
  <c r="B50" i="16" s="1"/>
  <c r="E40" i="15"/>
  <c r="I40" i="15"/>
  <c r="G6" i="104" s="1"/>
  <c r="M40" i="15"/>
  <c r="L40" i="15"/>
  <c r="J6" i="104" s="1"/>
  <c r="J40" i="15"/>
  <c r="H6" i="104" s="1"/>
  <c r="H40" i="15"/>
  <c r="F6" i="104" s="1"/>
  <c r="F16" i="15"/>
  <c r="F40" i="15" s="1"/>
  <c r="D40" i="15"/>
  <c r="G40" i="15"/>
  <c r="E6" i="104" s="1"/>
  <c r="K40" i="15"/>
  <c r="I6" i="104" s="1"/>
  <c r="C6" i="104" l="1"/>
  <c r="B47" i="15"/>
  <c r="D6" i="104"/>
  <c r="B48" i="15"/>
  <c r="B49" i="15" s="1"/>
  <c r="B50" i="15" s="1"/>
  <c r="K6" i="104"/>
  <c r="M38" i="14"/>
  <c r="L38" i="14"/>
  <c r="K38" i="14"/>
  <c r="J38" i="14"/>
  <c r="I38" i="14"/>
  <c r="H38" i="14"/>
  <c r="G38" i="14"/>
  <c r="F38" i="14"/>
  <c r="E38" i="14"/>
  <c r="M22" i="14"/>
  <c r="L22" i="14"/>
  <c r="K22" i="14"/>
  <c r="J22" i="14"/>
  <c r="I22" i="14"/>
  <c r="H22" i="14"/>
  <c r="G22" i="14"/>
  <c r="D22" i="14"/>
  <c r="M16" i="14"/>
  <c r="L16" i="14"/>
  <c r="K16" i="14"/>
  <c r="J16" i="14"/>
  <c r="I16" i="14"/>
  <c r="H16" i="14"/>
  <c r="G16" i="14"/>
  <c r="D16" i="14"/>
  <c r="F14" i="14"/>
  <c r="F13" i="14"/>
  <c r="L6" i="104" l="1"/>
  <c r="D40" i="14"/>
  <c r="G40" i="14"/>
  <c r="H40" i="14"/>
  <c r="L40" i="14"/>
  <c r="K40" i="14"/>
  <c r="E40" i="14"/>
  <c r="I40" i="14"/>
  <c r="M40" i="14"/>
  <c r="J40" i="14"/>
  <c r="F16" i="14"/>
  <c r="F40" i="14" s="1"/>
  <c r="B59" i="14" s="1"/>
  <c r="E41" i="14" l="1"/>
  <c r="B58" i="14"/>
  <c r="B60" i="14" s="1"/>
  <c r="B61" i="14" s="1"/>
  <c r="F41" i="14"/>
  <c r="M17" i="9"/>
  <c r="L17" i="9"/>
  <c r="K17" i="9"/>
  <c r="J17" i="9"/>
  <c r="I17" i="9"/>
  <c r="H17" i="9"/>
  <c r="G17" i="9"/>
  <c r="F17" i="9"/>
  <c r="D17" i="9"/>
  <c r="M11" i="9"/>
  <c r="L11" i="9"/>
  <c r="K11" i="9"/>
  <c r="J11" i="9"/>
  <c r="I11" i="9"/>
  <c r="H11" i="9"/>
  <c r="G11" i="9"/>
  <c r="D11" i="9"/>
  <c r="M37" i="7"/>
  <c r="L37" i="7"/>
  <c r="J37" i="7"/>
  <c r="I37" i="7"/>
  <c r="H37" i="7"/>
  <c r="G37" i="7"/>
  <c r="F37" i="7"/>
  <c r="F16" i="7"/>
  <c r="D16" i="7"/>
  <c r="M13" i="7"/>
  <c r="M43" i="6"/>
  <c r="L43" i="6"/>
  <c r="K43" i="6"/>
  <c r="J43" i="6"/>
  <c r="I43" i="6"/>
  <c r="H43" i="6"/>
  <c r="G43" i="6"/>
  <c r="E43" i="6"/>
  <c r="D19" i="6"/>
  <c r="M13" i="6"/>
  <c r="L13" i="6"/>
  <c r="K13" i="6"/>
  <c r="J13" i="6"/>
  <c r="I13" i="6"/>
  <c r="H13" i="6"/>
  <c r="G13" i="6"/>
  <c r="D13" i="6"/>
  <c r="F13" i="6"/>
  <c r="M35" i="4"/>
  <c r="L35" i="4"/>
  <c r="K35" i="4"/>
  <c r="J35" i="4"/>
  <c r="I35" i="4"/>
  <c r="H35" i="4"/>
  <c r="G35" i="4"/>
  <c r="F35" i="4"/>
  <c r="M20" i="4"/>
  <c r="L20" i="4"/>
  <c r="K20" i="4"/>
  <c r="J20" i="4"/>
  <c r="I20" i="4"/>
  <c r="H20" i="4"/>
  <c r="G20" i="4"/>
  <c r="F20" i="4"/>
  <c r="D20" i="4"/>
  <c r="M13" i="4"/>
  <c r="L13" i="4"/>
  <c r="K13" i="4"/>
  <c r="J13" i="4"/>
  <c r="I13" i="4"/>
  <c r="H13" i="4"/>
  <c r="G13" i="4"/>
  <c r="D13" i="4"/>
  <c r="F12" i="4"/>
  <c r="F11" i="4"/>
  <c r="F10" i="4"/>
  <c r="F9" i="4"/>
  <c r="F8" i="4"/>
  <c r="F7" i="4"/>
  <c r="C9" i="104" l="1"/>
  <c r="E39" i="7"/>
  <c r="B44" i="7" s="1"/>
  <c r="D37" i="4"/>
  <c r="D37" i="9"/>
  <c r="I37" i="9"/>
  <c r="M37" i="9"/>
  <c r="D39" i="7"/>
  <c r="I39" i="7"/>
  <c r="G15" i="104" s="1"/>
  <c r="M39" i="7"/>
  <c r="G45" i="6"/>
  <c r="E11" i="104" s="1"/>
  <c r="K45" i="6"/>
  <c r="I37" i="4"/>
  <c r="G5" i="2" s="1"/>
  <c r="M37" i="4"/>
  <c r="C5" i="2"/>
  <c r="G32" i="104"/>
  <c r="J37" i="4"/>
  <c r="H5" i="2" s="1"/>
  <c r="H45" i="6"/>
  <c r="F11" i="104" s="1"/>
  <c r="L45" i="6"/>
  <c r="F39" i="7"/>
  <c r="B45" i="7" s="1"/>
  <c r="B46" i="7" s="1"/>
  <c r="B47" i="7" s="1"/>
  <c r="J39" i="7"/>
  <c r="H15" i="104" s="1"/>
  <c r="J37" i="9"/>
  <c r="H30" i="104"/>
  <c r="H32" i="104"/>
  <c r="G30" i="104"/>
  <c r="G37" i="4"/>
  <c r="E5" i="2" s="1"/>
  <c r="K37" i="4"/>
  <c r="I5" i="2" s="1"/>
  <c r="E45" i="6"/>
  <c r="I45" i="6"/>
  <c r="G11" i="104" s="1"/>
  <c r="M45" i="6"/>
  <c r="G39" i="7"/>
  <c r="E15" i="104" s="1"/>
  <c r="K39" i="7"/>
  <c r="G37" i="9"/>
  <c r="K37" i="9"/>
  <c r="D30" i="104"/>
  <c r="E30" i="104"/>
  <c r="I30" i="104"/>
  <c r="E32" i="104"/>
  <c r="H37" i="4"/>
  <c r="F5" i="2" s="1"/>
  <c r="L37" i="4"/>
  <c r="J5" i="2" s="1"/>
  <c r="F45" i="6"/>
  <c r="B59" i="6" s="1"/>
  <c r="J45" i="6"/>
  <c r="H11" i="104" s="1"/>
  <c r="H39" i="7"/>
  <c r="F15" i="104" s="1"/>
  <c r="L39" i="7"/>
  <c r="J15" i="104" s="1"/>
  <c r="F11" i="9"/>
  <c r="F37" i="9" s="1"/>
  <c r="H37" i="9"/>
  <c r="L37" i="9"/>
  <c r="F30" i="104"/>
  <c r="F32" i="104"/>
  <c r="J32" i="104"/>
  <c r="D45" i="6"/>
  <c r="F13" i="4"/>
  <c r="B58" i="6" l="1"/>
  <c r="B60" i="6" s="1"/>
  <c r="B61" i="6" s="1"/>
  <c r="E46" i="6"/>
  <c r="C11" i="104" s="1"/>
  <c r="D15" i="104"/>
  <c r="M46" i="14"/>
  <c r="F41" i="9"/>
  <c r="J21" i="2" s="1"/>
  <c r="F46" i="9"/>
  <c r="F47" i="9" s="1"/>
  <c r="C32" i="104"/>
  <c r="B49" i="6"/>
  <c r="F46" i="6" s="1"/>
  <c r="B50" i="6"/>
  <c r="K30" i="104"/>
  <c r="C15" i="104"/>
  <c r="I32" i="104"/>
  <c r="D32" i="104"/>
  <c r="J11" i="104"/>
  <c r="I11" i="104"/>
  <c r="I15" i="104"/>
  <c r="F37" i="4"/>
  <c r="K5" i="2"/>
  <c r="L5" i="2" s="1"/>
  <c r="L30" i="104" l="1"/>
  <c r="M30" i="104"/>
  <c r="E41" i="9"/>
  <c r="E40" i="9" s="1"/>
  <c r="D5" i="2"/>
  <c r="B45" i="4"/>
  <c r="B46" i="4" s="1"/>
  <c r="B47" i="4" s="1"/>
  <c r="D11" i="104"/>
  <c r="C35" i="104"/>
  <c r="F42" i="9"/>
  <c r="B51" i="6"/>
  <c r="C20" i="104"/>
  <c r="C39" i="104" s="1"/>
  <c r="K11" i="104"/>
  <c r="K32" i="104"/>
  <c r="K15" i="104"/>
  <c r="L15" i="104" s="1"/>
  <c r="K44" i="2"/>
  <c r="L44" i="2" s="1"/>
  <c r="C25" i="2" l="1"/>
  <c r="C29" i="2" s="1"/>
  <c r="C38" i="104"/>
  <c r="F48" i="104" s="1"/>
  <c r="F49" i="104"/>
  <c r="E42" i="9"/>
  <c r="L11" i="104"/>
  <c r="C11" i="2"/>
  <c r="C17" i="2" s="1"/>
  <c r="L32" i="104"/>
  <c r="K24" i="2"/>
  <c r="L24" i="2" s="1"/>
  <c r="K38" i="2"/>
  <c r="J34" i="2"/>
  <c r="C40" i="104" l="1"/>
  <c r="F47" i="104" s="1"/>
  <c r="L38" i="2"/>
  <c r="J35" i="2"/>
  <c r="I148" i="1"/>
  <c r="F34" i="2"/>
  <c r="G34" i="2"/>
  <c r="H34" i="2"/>
  <c r="I34" i="2"/>
  <c r="H148" i="1" s="1"/>
  <c r="E34" i="2"/>
  <c r="D148" i="1" s="1"/>
  <c r="D34" i="2"/>
  <c r="C34" i="2"/>
  <c r="L33" i="2"/>
  <c r="G35" i="2" l="1"/>
  <c r="F148" i="1"/>
  <c r="F35" i="2"/>
  <c r="E148" i="1"/>
  <c r="I35" i="2"/>
  <c r="H35" i="2"/>
  <c r="G148" i="1"/>
  <c r="E35" i="2"/>
  <c r="K34" i="2"/>
  <c r="F195" i="1"/>
  <c r="F202" i="1" s="1"/>
  <c r="F203" i="1" s="1"/>
  <c r="G195" i="1"/>
  <c r="G202" i="1" s="1"/>
  <c r="G203" i="1" s="1"/>
  <c r="H195" i="1"/>
  <c r="H202" i="1" s="1"/>
  <c r="H203" i="1" s="1"/>
  <c r="I195" i="1"/>
  <c r="I202" i="1" s="1"/>
  <c r="I203" i="1" s="1"/>
  <c r="D195" i="1"/>
  <c r="B208" i="1"/>
  <c r="B206" i="1"/>
  <c r="J193" i="1"/>
  <c r="J168" i="1"/>
  <c r="J35" i="1"/>
  <c r="C190" i="1"/>
  <c r="C202" i="1" s="1"/>
  <c r="C203" i="1" s="1"/>
  <c r="C167" i="1"/>
  <c r="C147" i="1"/>
  <c r="H15" i="3"/>
  <c r="H16" i="3" s="1"/>
  <c r="G15" i="3"/>
  <c r="G16" i="3" s="1"/>
  <c r="H11" i="3"/>
  <c r="H12" i="3" s="1"/>
  <c r="H82" i="1" s="1"/>
  <c r="G11" i="3"/>
  <c r="G12" i="3" s="1"/>
  <c r="G82" i="1" s="1"/>
  <c r="F11" i="3"/>
  <c r="F12" i="3" s="1"/>
  <c r="F82" i="1" s="1"/>
  <c r="E11" i="3"/>
  <c r="E12" i="3" s="1"/>
  <c r="E82" i="1" s="1"/>
  <c r="F3" i="3"/>
  <c r="F4" i="3" s="1"/>
  <c r="C38" i="3" l="1"/>
  <c r="J201" i="1"/>
  <c r="F214" i="1"/>
  <c r="L34" i="2"/>
  <c r="C148" i="1"/>
  <c r="C150" i="1" s="1"/>
  <c r="C191" i="1"/>
  <c r="K35" i="2"/>
  <c r="C169" i="1"/>
  <c r="C183" i="1" s="1"/>
  <c r="C184" i="1" s="1"/>
  <c r="C36" i="1"/>
  <c r="C54" i="1" s="1"/>
  <c r="J148" i="1"/>
  <c r="C211" i="1"/>
  <c r="C228" i="1" s="1"/>
  <c r="B211" i="1"/>
  <c r="E3" i="3"/>
  <c r="E4" i="3" s="1"/>
  <c r="E11" i="1" s="1"/>
  <c r="E214" i="1" s="1"/>
  <c r="G3" i="3"/>
  <c r="G4" i="3" s="1"/>
  <c r="G11" i="1" s="1"/>
  <c r="G214" i="1" s="1"/>
  <c r="D3" i="3"/>
  <c r="D4" i="3" s="1"/>
  <c r="D11" i="1" s="1"/>
  <c r="H3" i="3"/>
  <c r="H4" i="3" s="1"/>
  <c r="H214" i="1" s="1"/>
  <c r="D15" i="3"/>
  <c r="D16" i="3" s="1"/>
  <c r="E15" i="3"/>
  <c r="E16" i="3" s="1"/>
  <c r="D11" i="3"/>
  <c r="D12" i="3" s="1"/>
  <c r="D82" i="1" s="1"/>
  <c r="J82" i="1" s="1"/>
  <c r="F15" i="3"/>
  <c r="F16" i="3" s="1"/>
  <c r="C171" i="1" l="1"/>
  <c r="E191" i="1"/>
  <c r="E195" i="1" s="1"/>
  <c r="E202" i="1" s="1"/>
  <c r="E203" i="1" s="1"/>
  <c r="C55" i="1"/>
  <c r="G38" i="1"/>
  <c r="G40" i="1" s="1"/>
  <c r="G54" i="1" s="1"/>
  <c r="J44" i="14"/>
  <c r="C39" i="3"/>
  <c r="E40" i="2"/>
  <c r="I7" i="2"/>
  <c r="F4" i="2"/>
  <c r="G7" i="2"/>
  <c r="I4" i="2"/>
  <c r="E4" i="2"/>
  <c r="F7" i="2"/>
  <c r="H4" i="2"/>
  <c r="E7" i="2"/>
  <c r="G4" i="2"/>
  <c r="D38" i="1"/>
  <c r="F40" i="1"/>
  <c r="F54" i="1" s="1"/>
  <c r="E40" i="1"/>
  <c r="E54" i="1" s="1"/>
  <c r="C235" i="1"/>
  <c r="C237" i="1" s="1"/>
  <c r="G9" i="104"/>
  <c r="H9" i="104"/>
  <c r="J9" i="104"/>
  <c r="J20" i="104" s="1"/>
  <c r="I9" i="104"/>
  <c r="D214" i="1"/>
  <c r="C214" i="1" s="1"/>
  <c r="C46" i="3"/>
  <c r="E9" i="104"/>
  <c r="E41" i="2"/>
  <c r="C192" i="1"/>
  <c r="C19" i="3"/>
  <c r="G40" i="2"/>
  <c r="G56" i="2" s="1"/>
  <c r="G57" i="2" s="1"/>
  <c r="I40" i="2"/>
  <c r="I41" i="2"/>
  <c r="H40" i="2"/>
  <c r="H56" i="2" s="1"/>
  <c r="H57" i="2" s="1"/>
  <c r="I170" i="1"/>
  <c r="J4" i="3"/>
  <c r="I12" i="3"/>
  <c r="J12" i="3"/>
  <c r="J16" i="3"/>
  <c r="I16" i="3"/>
  <c r="I4" i="3"/>
  <c r="J191" i="1" l="1"/>
  <c r="J195" i="1" s="1"/>
  <c r="N44" i="14"/>
  <c r="L41" i="48"/>
  <c r="L42" i="48"/>
  <c r="J45" i="14"/>
  <c r="J46" i="14" s="1"/>
  <c r="N45" i="14"/>
  <c r="I56" i="2"/>
  <c r="E56" i="2"/>
  <c r="J27" i="104"/>
  <c r="J35" i="104" s="1"/>
  <c r="E27" i="104"/>
  <c r="H21" i="2"/>
  <c r="I27" i="104"/>
  <c r="D63" i="2"/>
  <c r="C87" i="1" s="1"/>
  <c r="G21" i="2"/>
  <c r="H27" i="104"/>
  <c r="F21" i="2"/>
  <c r="G27" i="104"/>
  <c r="I21" i="2"/>
  <c r="E21" i="2"/>
  <c r="J198" i="1"/>
  <c r="J37" i="1"/>
  <c r="J178" i="1"/>
  <c r="J182" i="1"/>
  <c r="E16" i="1"/>
  <c r="G16" i="1"/>
  <c r="E20" i="104"/>
  <c r="H20" i="104"/>
  <c r="H21" i="104" s="1"/>
  <c r="G20" i="104"/>
  <c r="G11" i="2" s="1"/>
  <c r="D40" i="1"/>
  <c r="D54" i="1" s="1"/>
  <c r="J21" i="104"/>
  <c r="J11" i="2"/>
  <c r="J17" i="2" s="1"/>
  <c r="K4" i="2"/>
  <c r="C16" i="1"/>
  <c r="J199" i="1"/>
  <c r="I19" i="3"/>
  <c r="F19" i="3"/>
  <c r="H19" i="3"/>
  <c r="E19" i="3"/>
  <c r="D19" i="3"/>
  <c r="G19" i="3"/>
  <c r="G23" i="2"/>
  <c r="F23" i="2"/>
  <c r="I23" i="2"/>
  <c r="E23" i="2"/>
  <c r="K41" i="2"/>
  <c r="J59" i="2"/>
  <c r="H59" i="2"/>
  <c r="H63" i="2" s="1"/>
  <c r="G59" i="2"/>
  <c r="G63" i="2" s="1"/>
  <c r="I59" i="2"/>
  <c r="E59" i="2"/>
  <c r="J60" i="2"/>
  <c r="I60" i="2"/>
  <c r="E60" i="2"/>
  <c r="J170" i="1"/>
  <c r="K40" i="2"/>
  <c r="K7" i="2"/>
  <c r="I38" i="1"/>
  <c r="I40" i="1" s="1"/>
  <c r="I54" i="1" s="1"/>
  <c r="D47" i="3"/>
  <c r="E16" i="2" s="1"/>
  <c r="H46" i="3"/>
  <c r="E46" i="3"/>
  <c r="F47" i="3"/>
  <c r="G16" i="2" s="1"/>
  <c r="F46" i="3"/>
  <c r="G47" i="3"/>
  <c r="H16" i="2" s="1"/>
  <c r="G46" i="3"/>
  <c r="E47" i="3"/>
  <c r="F16" i="2" s="1"/>
  <c r="D46" i="3"/>
  <c r="I57" i="2" l="1"/>
  <c r="H16" i="1"/>
  <c r="I8" i="1"/>
  <c r="I18" i="1" s="1"/>
  <c r="E153" i="1"/>
  <c r="E161" i="1" s="1"/>
  <c r="H151" i="1"/>
  <c r="H153" i="1" s="1"/>
  <c r="H160" i="1" s="1"/>
  <c r="H161" i="1" s="1"/>
  <c r="D151" i="1"/>
  <c r="I151" i="1"/>
  <c r="I153" i="1" s="1"/>
  <c r="I161" i="1" s="1"/>
  <c r="E57" i="2"/>
  <c r="K57" i="2" s="1"/>
  <c r="G151" i="1"/>
  <c r="G153" i="1" s="1"/>
  <c r="G161" i="1" s="1"/>
  <c r="F151" i="1"/>
  <c r="F153" i="1" s="1"/>
  <c r="F161" i="1" s="1"/>
  <c r="J43" i="48"/>
  <c r="J45" i="48" s="1"/>
  <c r="K34" i="104"/>
  <c r="K56" i="2"/>
  <c r="E35" i="104"/>
  <c r="H35" i="104"/>
  <c r="H25" i="2" s="1"/>
  <c r="H29" i="2" s="1"/>
  <c r="L46" i="14"/>
  <c r="G35" i="104"/>
  <c r="G25" i="2" s="1"/>
  <c r="G29" i="2" s="1"/>
  <c r="F35" i="104"/>
  <c r="D16" i="1"/>
  <c r="D27" i="104"/>
  <c r="D35" i="104" s="1"/>
  <c r="E63" i="2"/>
  <c r="D87" i="1" s="1"/>
  <c r="D9" i="104"/>
  <c r="K9" i="104"/>
  <c r="L9" i="104" s="1"/>
  <c r="I63" i="2"/>
  <c r="I64" i="2" s="1"/>
  <c r="J63" i="2"/>
  <c r="H64" i="2"/>
  <c r="G87" i="1"/>
  <c r="F87" i="1"/>
  <c r="G64" i="2"/>
  <c r="J53" i="1"/>
  <c r="L7" i="2"/>
  <c r="D7" i="2"/>
  <c r="L4" i="2"/>
  <c r="D4" i="2"/>
  <c r="K16" i="2"/>
  <c r="L16" i="2" s="1"/>
  <c r="G17" i="2"/>
  <c r="C216" i="1"/>
  <c r="C38" i="1"/>
  <c r="J40" i="1"/>
  <c r="G21" i="104"/>
  <c r="H11" i="2"/>
  <c r="H17" i="2" s="1"/>
  <c r="E21" i="104"/>
  <c r="E11" i="2"/>
  <c r="E17" i="2" s="1"/>
  <c r="J36" i="104"/>
  <c r="J25" i="2"/>
  <c r="J29" i="2" s="1"/>
  <c r="K21" i="2"/>
  <c r="J19" i="3"/>
  <c r="L40" i="2"/>
  <c r="K60" i="2"/>
  <c r="K59" i="2"/>
  <c r="K23" i="2"/>
  <c r="J38" i="1"/>
  <c r="K39" i="1" s="1"/>
  <c r="J202" i="1"/>
  <c r="J203" i="1" s="1"/>
  <c r="L34" i="104" l="1"/>
  <c r="M34" i="104"/>
  <c r="I215" i="1"/>
  <c r="H215" i="1"/>
  <c r="F8" i="1"/>
  <c r="D8" i="1"/>
  <c r="G8" i="1"/>
  <c r="E64" i="2"/>
  <c r="I35" i="104"/>
  <c r="I36" i="104" s="1"/>
  <c r="F36" i="104"/>
  <c r="K27" i="104"/>
  <c r="M27" i="104" s="1"/>
  <c r="D25" i="2"/>
  <c r="D20" i="104"/>
  <c r="D11" i="2" s="1"/>
  <c r="D17" i="2" s="1"/>
  <c r="H87" i="1"/>
  <c r="H216" i="1" s="1"/>
  <c r="I20" i="104"/>
  <c r="K14" i="104"/>
  <c r="L14" i="104" s="1"/>
  <c r="L59" i="2"/>
  <c r="K63" i="2"/>
  <c r="J64" i="2"/>
  <c r="I87" i="1"/>
  <c r="I216" i="1" s="1"/>
  <c r="L23" i="2"/>
  <c r="D23" i="2"/>
  <c r="L21" i="2"/>
  <c r="D21" i="2"/>
  <c r="G18" i="2"/>
  <c r="H36" i="104"/>
  <c r="G36" i="104"/>
  <c r="C151" i="1"/>
  <c r="G41" i="1"/>
  <c r="H18" i="2"/>
  <c r="F25" i="2"/>
  <c r="F29" i="2" s="1"/>
  <c r="J18" i="2"/>
  <c r="J30" i="2"/>
  <c r="E36" i="104"/>
  <c r="E25" i="2"/>
  <c r="E29" i="2" s="1"/>
  <c r="D216" i="1"/>
  <c r="E216" i="1"/>
  <c r="G30" i="2"/>
  <c r="H30" i="2"/>
  <c r="J151" i="1"/>
  <c r="D153" i="1"/>
  <c r="D161" i="1" s="1"/>
  <c r="J172" i="1"/>
  <c r="H41" i="1"/>
  <c r="E41" i="1"/>
  <c r="D41" i="1"/>
  <c r="I41" i="1"/>
  <c r="F41" i="1"/>
  <c r="H54" i="1" l="1"/>
  <c r="G79" i="1"/>
  <c r="F79" i="1"/>
  <c r="J46" i="1"/>
  <c r="D29" i="2"/>
  <c r="I25" i="2"/>
  <c r="L27" i="104"/>
  <c r="L35" i="104" s="1"/>
  <c r="K35" i="104"/>
  <c r="K38" i="104" s="1"/>
  <c r="I21" i="104"/>
  <c r="I11" i="2"/>
  <c r="I17" i="2" s="1"/>
  <c r="G216" i="1"/>
  <c r="C153" i="1"/>
  <c r="C160" i="1" s="1"/>
  <c r="C161" i="1" s="1"/>
  <c r="I79" i="1"/>
  <c r="I212" i="1" s="1"/>
  <c r="F30" i="2"/>
  <c r="E18" i="2"/>
  <c r="K36" i="104"/>
  <c r="J87" i="1"/>
  <c r="K64" i="2"/>
  <c r="J153" i="1"/>
  <c r="M38" i="104" l="1"/>
  <c r="J43" i="1"/>
  <c r="E79" i="1"/>
  <c r="I29" i="2"/>
  <c r="I30" i="2" s="1"/>
  <c r="I89" i="1"/>
  <c r="K25" i="2"/>
  <c r="K29" i="2" s="1"/>
  <c r="I18" i="2"/>
  <c r="H8" i="1"/>
  <c r="H18" i="1" s="1"/>
  <c r="C231" i="1"/>
  <c r="J49" i="1"/>
  <c r="J154" i="1"/>
  <c r="I154" i="1"/>
  <c r="H154" i="1"/>
  <c r="E154" i="1"/>
  <c r="G154" i="1"/>
  <c r="F154" i="1"/>
  <c r="D154" i="1"/>
  <c r="E30" i="2"/>
  <c r="D79" i="1" s="1"/>
  <c r="J41" i="1"/>
  <c r="H79" i="1" l="1"/>
  <c r="H89" i="1" s="1"/>
  <c r="E217" i="1"/>
  <c r="D217" i="1"/>
  <c r="J159" i="1"/>
  <c r="L25" i="2"/>
  <c r="J157" i="1"/>
  <c r="D212" i="1"/>
  <c r="K30" i="2"/>
  <c r="J175" i="1"/>
  <c r="E113" i="1" l="1"/>
  <c r="G113" i="1"/>
  <c r="G217" i="1"/>
  <c r="F113" i="1"/>
  <c r="F217" i="1"/>
  <c r="J158" i="1"/>
  <c r="I112" i="1"/>
  <c r="D113" i="1"/>
  <c r="L29" i="2"/>
  <c r="J156" i="1"/>
  <c r="J79" i="1"/>
  <c r="J179" i="1"/>
  <c r="J116" i="1"/>
  <c r="C79" i="1" l="1"/>
  <c r="C80" i="1" s="1"/>
  <c r="C84" i="1" s="1"/>
  <c r="G84" i="1" s="1"/>
  <c r="G89" i="1" s="1"/>
  <c r="J112" i="1"/>
  <c r="J217" i="1" s="1"/>
  <c r="I217" i="1"/>
  <c r="J160" i="1"/>
  <c r="I113" i="1"/>
  <c r="J161" i="1" l="1"/>
  <c r="D84" i="1"/>
  <c r="D89" i="1" s="1"/>
  <c r="F89" i="1"/>
  <c r="E84" i="1"/>
  <c r="E89" i="1" s="1"/>
  <c r="F51" i="3"/>
  <c r="J110" i="1" l="1"/>
  <c r="D51" i="3"/>
  <c r="E51" i="3"/>
  <c r="H51" i="3"/>
  <c r="G51" i="3"/>
  <c r="J84" i="1" l="1"/>
  <c r="J89" i="1"/>
  <c r="J81" i="1"/>
  <c r="D90" i="1" l="1"/>
  <c r="H90" i="1" l="1"/>
  <c r="I90" i="1"/>
  <c r="F90" i="1"/>
  <c r="E90" i="1"/>
  <c r="G90" i="1"/>
  <c r="D98" i="1" l="1"/>
  <c r="J92" i="1"/>
  <c r="J97" i="1"/>
  <c r="J90" i="1"/>
  <c r="H98" i="1" l="1"/>
  <c r="H99" i="1" s="1"/>
  <c r="I98" i="1"/>
  <c r="I99" i="1" s="1"/>
  <c r="G98" i="1"/>
  <c r="G99" i="1" s="1"/>
  <c r="F98" i="1"/>
  <c r="F99" i="1" s="1"/>
  <c r="E98" i="1"/>
  <c r="E99" i="1" s="1"/>
  <c r="D99" i="1"/>
  <c r="J91" i="1"/>
  <c r="J94" i="1"/>
  <c r="J93" i="1"/>
  <c r="G212" i="1"/>
  <c r="B48" i="29"/>
  <c r="J99" i="1" l="1"/>
  <c r="J98" i="1"/>
  <c r="E115" i="1"/>
  <c r="E117" i="1" s="1"/>
  <c r="E118" i="1" s="1"/>
  <c r="I118" i="1"/>
  <c r="I115" i="1"/>
  <c r="G115" i="1"/>
  <c r="G117" i="1" s="1"/>
  <c r="G118" i="1" s="1"/>
  <c r="F212" i="1"/>
  <c r="D115" i="1"/>
  <c r="D117" i="1" s="1"/>
  <c r="F8" i="104"/>
  <c r="F20" i="104" s="1"/>
  <c r="D118" i="1" l="1"/>
  <c r="D119" i="1" s="1"/>
  <c r="D220" i="1" s="1"/>
  <c r="I119" i="1"/>
  <c r="I220" i="1" s="1"/>
  <c r="G119" i="1"/>
  <c r="E119" i="1"/>
  <c r="F115" i="1"/>
  <c r="F117" i="1" s="1"/>
  <c r="J117" i="1" s="1"/>
  <c r="K8" i="104"/>
  <c r="K20" i="104" s="1"/>
  <c r="K39" i="104" s="1"/>
  <c r="M39" i="104" l="1"/>
  <c r="P47" i="104"/>
  <c r="F118" i="1"/>
  <c r="G220" i="1"/>
  <c r="E220" i="1"/>
  <c r="G47" i="104"/>
  <c r="F119" i="1"/>
  <c r="F21" i="104"/>
  <c r="K21" i="104" s="1"/>
  <c r="F11" i="2"/>
  <c r="F17" i="2" s="1"/>
  <c r="L8" i="104"/>
  <c r="F220" i="1" l="1"/>
  <c r="E8" i="1"/>
  <c r="L20" i="104"/>
  <c r="K11" i="2"/>
  <c r="K17" i="2" s="1"/>
  <c r="K40" i="104" l="1"/>
  <c r="M40" i="104" s="1"/>
  <c r="F18" i="2"/>
  <c r="K18" i="2" s="1"/>
  <c r="L11" i="2"/>
  <c r="L17" i="2" s="1"/>
  <c r="C8" i="1"/>
  <c r="C212" i="1" s="1"/>
  <c r="C9" i="1" l="1"/>
  <c r="E212" i="1"/>
  <c r="J8" i="1"/>
  <c r="J212" i="1" s="1"/>
  <c r="C14" i="1" l="1"/>
  <c r="C213" i="1"/>
  <c r="C215" i="1" l="1"/>
  <c r="C219" i="1" s="1"/>
  <c r="E14" i="1"/>
  <c r="E18" i="1" s="1"/>
  <c r="F14" i="1"/>
  <c r="G14" i="1"/>
  <c r="G18" i="1" s="1"/>
  <c r="J11" i="1"/>
  <c r="J214" i="1" s="1"/>
  <c r="F215" i="1" l="1"/>
  <c r="E215" i="1"/>
  <c r="G215" i="1"/>
  <c r="J107" i="1"/>
  <c r="J113" i="1" s="1"/>
  <c r="G235" i="1" l="1"/>
  <c r="E235" i="1"/>
  <c r="J115" i="1"/>
  <c r="J194" i="1"/>
  <c r="H115" i="1"/>
  <c r="H235" i="1" s="1"/>
  <c r="H118" i="1"/>
  <c r="H212" i="1"/>
  <c r="H219" i="1" s="1"/>
  <c r="J118" i="1" l="1"/>
  <c r="H119" i="1"/>
  <c r="H220" i="1" s="1"/>
  <c r="J119" i="1" l="1"/>
  <c r="J220" i="1" s="1"/>
  <c r="E219" i="1"/>
  <c r="G219" i="1"/>
  <c r="D14" i="1"/>
  <c r="D18" i="1" s="1"/>
  <c r="D215" i="1" l="1"/>
  <c r="D219" i="1" s="1"/>
  <c r="E237" i="1"/>
  <c r="G237" i="1"/>
  <c r="J14" i="1"/>
  <c r="H237" i="1"/>
  <c r="D235" i="1" l="1"/>
  <c r="D237" i="1" s="1"/>
  <c r="C229" i="1"/>
  <c r="J54" i="1"/>
  <c r="C230" i="1" l="1"/>
  <c r="C232" i="1"/>
  <c r="F16" i="1"/>
  <c r="F18" i="1" s="1"/>
  <c r="J16" i="1" l="1"/>
  <c r="F216" i="1"/>
  <c r="F219" i="1" s="1"/>
  <c r="F235" i="1" l="1"/>
  <c r="F237" i="1" s="1"/>
  <c r="J18" i="1"/>
  <c r="F19" i="1" l="1"/>
  <c r="E19" i="1"/>
  <c r="I19" i="1"/>
  <c r="D19" i="1"/>
  <c r="G19" i="1"/>
  <c r="H19" i="1"/>
  <c r="D222" i="1" l="1"/>
  <c r="I222" i="1"/>
  <c r="H222" i="1"/>
  <c r="E222" i="1"/>
  <c r="G222" i="1"/>
  <c r="F222" i="1"/>
  <c r="J26" i="1"/>
  <c r="J19" i="1"/>
  <c r="F221" i="1" l="1"/>
  <c r="F27" i="1"/>
  <c r="G221" i="1"/>
  <c r="G27" i="1"/>
  <c r="G28" i="1" s="1"/>
  <c r="E221" i="1"/>
  <c r="E27" i="1"/>
  <c r="E28" i="1" s="1"/>
  <c r="I27" i="1"/>
  <c r="I28" i="1" s="1"/>
  <c r="I221" i="1"/>
  <c r="H221" i="1"/>
  <c r="H27" i="1"/>
  <c r="H28" i="1" s="1"/>
  <c r="D221" i="1"/>
  <c r="D27" i="1"/>
  <c r="D228" i="1" s="1"/>
  <c r="D278" i="1" s="1"/>
  <c r="J20" i="1"/>
  <c r="J23" i="1"/>
  <c r="J224" i="1" s="1"/>
  <c r="J22" i="1"/>
  <c r="J223" i="1" s="1"/>
  <c r="J21" i="1"/>
  <c r="J25" i="1"/>
  <c r="J227" i="1" s="1"/>
  <c r="K227" i="1" s="1"/>
  <c r="F28" i="1" l="1"/>
  <c r="F231" i="1" s="1"/>
  <c r="F228" i="1"/>
  <c r="F278" i="1"/>
  <c r="G228" i="1"/>
  <c r="G278" i="1" s="1"/>
  <c r="E228" i="1"/>
  <c r="E278" i="1" s="1"/>
  <c r="H228" i="1"/>
  <c r="H278" i="1" s="1"/>
  <c r="I228" i="1"/>
  <c r="D28" i="1"/>
  <c r="J221" i="1"/>
  <c r="J27" i="1"/>
  <c r="J228" i="1" s="1"/>
  <c r="K228" i="1" s="1"/>
  <c r="J28" i="1" l="1"/>
  <c r="I219" i="1" l="1"/>
  <c r="J171" i="1"/>
  <c r="I174" i="1"/>
  <c r="I235" i="1" l="1"/>
  <c r="I237" i="1" s="1"/>
  <c r="J174" i="1"/>
  <c r="J215" i="1"/>
  <c r="J219" i="1" s="1"/>
  <c r="C174" i="1"/>
  <c r="J235" i="1" l="1"/>
  <c r="K235" i="1" s="1"/>
  <c r="J184" i="1"/>
  <c r="J237" i="1" l="1"/>
  <c r="I229" i="1"/>
  <c r="D229" i="1"/>
  <c r="D55" i="1"/>
  <c r="D231" i="1" s="1"/>
  <c r="I55" i="1"/>
  <c r="I231" i="1" s="1"/>
  <c r="F55" i="1"/>
  <c r="G55" i="1"/>
  <c r="G231" i="1" s="1"/>
  <c r="H55" i="1"/>
  <c r="H231" i="1" s="1"/>
  <c r="J44" i="1"/>
  <c r="J222" i="1" s="1"/>
  <c r="D232" i="1" l="1"/>
  <c r="I230" i="1"/>
  <c r="I232" i="1"/>
  <c r="K223" i="1"/>
  <c r="F229" i="1"/>
  <c r="D230" i="1"/>
  <c r="G229" i="1"/>
  <c r="E55" i="1"/>
  <c r="H229" i="1"/>
  <c r="J55" i="1" l="1"/>
  <c r="K55" i="1" s="1"/>
  <c r="E231" i="1"/>
  <c r="G230" i="1"/>
  <c r="G232" i="1"/>
  <c r="H230" i="1"/>
  <c r="H232" i="1"/>
  <c r="F230" i="1"/>
  <c r="F232" i="1"/>
  <c r="E229" i="1"/>
  <c r="E232" i="1" l="1"/>
  <c r="E230" i="1"/>
  <c r="J229" i="1"/>
  <c r="L2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tc={F03A3121-08D9-4102-975E-C624064D1071}</author>
  </authors>
  <commentList>
    <comment ref="B56" authorId="0" shapeId="0" xr:uid="{F03A3121-08D9-4102-975E-C624064D1071}">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tc={88CCEB57-8508-4449-BB93-E70FD98471F1}</author>
  </authors>
  <commentList>
    <comment ref="B77" authorId="0" shapeId="0" xr:uid="{88CCEB57-8508-4449-BB93-E70FD98471F1}">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tc={DF77447E-AA95-4B41-8C25-312AAB246CA4}</author>
  </authors>
  <commentList>
    <comment ref="B67" authorId="0" shapeId="0" xr:uid="{DF77447E-AA95-4B41-8C25-312AAB246CA4}">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tc={F3C34C86-9DC1-44E5-AE34-CD29A062DB8A}</author>
  </authors>
  <commentList>
    <comment ref="B62" authorId="0" shapeId="0" xr:uid="{F3C34C86-9DC1-44E5-AE34-CD29A062DB8A}">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tc={8B8FDAF7-15A5-4ACD-BAA7-175BD04315BF}</author>
  </authors>
  <commentList>
    <comment ref="B57" authorId="0" shapeId="0" xr:uid="{8B8FDAF7-15A5-4ACD-BAA7-175BD04315BF}">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tc={AA395E24-028D-4716-B822-5AA641AB711A}</author>
  </authors>
  <commentList>
    <comment ref="B74" authorId="0" shapeId="0" xr:uid="{AA395E24-028D-4716-B822-5AA641AB711A}">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tc={71A92419-BF88-4E83-BD83-95380C243C92}</author>
  </authors>
  <commentList>
    <comment ref="B60" authorId="0" shapeId="0" xr:uid="{71A92419-BF88-4E83-BD83-95380C243C92}">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tc={4E7645FD-1FEE-42C1-98DC-1DF50E540E46}</author>
  </authors>
  <commentList>
    <comment ref="B54" authorId="0" shapeId="0" xr:uid="{4E7645FD-1FEE-42C1-98DC-1DF50E540E46}">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tc={A56C1C5F-ECD4-4EE3-B116-2FFDEB854739}</author>
  </authors>
  <commentList>
    <comment ref="B56" authorId="0" shapeId="0" xr:uid="{A56C1C5F-ECD4-4EE3-B116-2FFDEB854739}">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tc={50942B50-29DE-4B38-8A06-09DF81459759}</author>
  </authors>
  <commentList>
    <comment ref="B55" authorId="0" shapeId="0" xr:uid="{50942B50-29DE-4B38-8A06-09DF81459759}">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tc={14FDAB0B-4948-4256-A4C1-AC2CA385A985}</author>
  </authors>
  <commentList>
    <comment ref="B50" authorId="0" shapeId="0" xr:uid="{14FDAB0B-4948-4256-A4C1-AC2CA385A985}">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tc={805EA349-C048-406A-A309-768C4D39E71F}</author>
  </authors>
  <commentList>
    <comment ref="B47" authorId="0" shapeId="0" xr:uid="{805EA349-C048-406A-A309-768C4D39E71F}">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tc={240615DF-2139-4AE7-9070-551D7DE18282}</author>
  </authors>
  <commentList>
    <comment ref="B60" authorId="0" shapeId="0" xr:uid="{240615DF-2139-4AE7-9070-551D7DE18282}">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Fojtik Jaymee L</author>
    <author>tc={972D9D3F-91E4-45BE-AC1C-375372F0FE83}</author>
  </authors>
  <commentList>
    <comment ref="N31" authorId="0" shapeId="0" xr:uid="{0AB7FE7F-C88C-4E2B-A7B1-04725B6844FC}">
      <text>
        <r>
          <rPr>
            <b/>
            <sz val="9"/>
            <color indexed="81"/>
            <rFont val="Tahoma"/>
            <family val="2"/>
          </rPr>
          <t>Fojtik Jaymee L:</t>
        </r>
        <r>
          <rPr>
            <sz val="9"/>
            <color indexed="81"/>
            <rFont val="Tahoma"/>
            <family val="2"/>
          </rPr>
          <t xml:space="preserve">
These costs are related to keeping curent in the data exchange environment,  software and  technology upgrades</t>
        </r>
      </text>
    </comment>
    <comment ref="B57" authorId="1" shapeId="0" xr:uid="{972D9D3F-91E4-45BE-AC1C-375372F0FE83}">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tc={623A7640-0E48-4024-B371-A0F5F1980A7B}</author>
  </authors>
  <commentList>
    <comment ref="B61" authorId="0" shapeId="0" xr:uid="{623A7640-0E48-4024-B371-A0F5F1980A7B}">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tc={6D142D89-749A-4F79-85D1-E00FB8685F19}</author>
  </authors>
  <commentList>
    <comment ref="B49" authorId="0" shapeId="0" xr:uid="{6D142D89-749A-4F79-85D1-E00FB8685F19}">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tc={E8F2DC75-D53B-4676-9305-5F4D811339F4}</author>
  </authors>
  <commentList>
    <comment ref="B50" authorId="0" shapeId="0" xr:uid="{E8F2DC75-D53B-4676-9305-5F4D811339F4}">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tc={A0E10B9A-2C15-4079-96F1-8ED52BCB9FEC}</author>
  </authors>
  <commentList>
    <comment ref="B63" authorId="0" shapeId="0" xr:uid="{A0E10B9A-2C15-4079-96F1-8ED52BCB9FEC}">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tc={4EA460CF-D3A2-4AB3-B243-B3956EF92D5B}</author>
  </authors>
  <commentList>
    <comment ref="B50" authorId="0" shapeId="0" xr:uid="{4EA460CF-D3A2-4AB3-B243-B3956EF92D5B}">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tc={CA190496-CD93-44F2-B24A-B2CAE1E2DCEA}</author>
  </authors>
  <commentList>
    <comment ref="B47" authorId="0" shapeId="0" xr:uid="{CA190496-CD93-44F2-B24A-B2CAE1E2DCEA}">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tc={50245B77-FD74-4A19-858C-0632A861F55A}</author>
    <author>tc={81085732-DFF4-4F16-B743-0B6589C70809}</author>
  </authors>
  <commentList>
    <comment ref="F41" authorId="0" shapeId="0" xr:uid="{50245B77-FD74-4A19-858C-0632A861F55A}">
      <text>
        <t>[Threaded comment]
Your version of Excel allows you to read this threaded comment; however, any edits to it will get removed if the file is opened in a newer version of Excel. Learn more: https://go.microsoft.com/fwlink/?linkid=870924
Comment:
    There is $340 for the Knowledge Manager (GaBriella)for two years and the balance of $170 for the Data Cache Business Lead (Kara).  If we have to have all of it spent in FY22, they we can apply the Knowledge Manager funding to Andrew's position too.  Let me know if you have any questions.
Reply:
    You only have $115,723.52 of the $170,000 in the Emergent Bus. Lead account. $54,276.48 was paid out to Blake.
Reply:
    So we want to use the $115K for Kara and cover all of GaBriella's with the Emergent Funding
Reply:
    Also, we got $170K / year for the Knowledge Manager.  If GB's cost is only $144, we should use the remaining $26K for Andrew's position.</t>
      </text>
    </comment>
    <comment ref="B57" authorId="1" shapeId="0" xr:uid="{81085732-DFF4-4F16-B743-0B6589C70809}">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tc={5716717A-DC84-4D5B-8B78-4D6C5047FC5B}</author>
  </authors>
  <commentList>
    <comment ref="B57" authorId="0" shapeId="0" xr:uid="{5716717A-DC84-4D5B-8B78-4D6C5047FC5B}">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tc={8F3F9784-BAD8-41F8-A867-CCCDBBA5D0AA}</author>
  </authors>
  <commentList>
    <comment ref="B57" authorId="0" shapeId="0" xr:uid="{8F3F9784-BAD8-41F8-A867-CCCDBBA5D0AA}">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tc={FA96CA22-727C-4730-814F-D8CFCA2D6E57}</author>
  </authors>
  <commentList>
    <comment ref="B47" authorId="0" shapeId="0" xr:uid="{FA96CA22-727C-4730-814F-D8CFCA2D6E57}">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tc={6874E861-F7D1-48BC-9B1B-879C0DEA3544}</author>
  </authors>
  <commentList>
    <comment ref="B45" authorId="0" shapeId="0" xr:uid="{6874E861-F7D1-48BC-9B1B-879C0DEA3544}">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tc={AA790723-6158-4940-A925-83AEBB1FF496}</author>
  </authors>
  <commentList>
    <comment ref="B50" authorId="0" shapeId="0" xr:uid="{AA790723-6158-4940-A925-83AEBB1FF496}">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tc={AF235AAE-AA64-4F90-8079-057512F2A1F1}</author>
  </authors>
  <commentList>
    <comment ref="B53" authorId="0" shapeId="0" xr:uid="{AF235AAE-AA64-4F90-8079-057512F2A1F1}">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tc={71449547-0F82-429D-AB9F-86D9F73CA3B5}</author>
  </authors>
  <commentList>
    <comment ref="B60" authorId="0" shapeId="0" xr:uid="{71449547-0F82-429D-AB9F-86D9F73CA3B5}">
      <text>
        <t>[Threaded comment]
Your version of Excel allows you to read this threaded comment; however, any edits to it will get removed if the file is opened in a newer version of Excel. Learn more: https://go.microsoft.com/fwlink/?linkid=870924
Comment:
    Overtarget Scenario description required if change is equal or greater than 10%.</t>
      </text>
    </comment>
  </commentList>
</comments>
</file>

<file path=xl/sharedStrings.xml><?xml version="1.0" encoding="utf-8"?>
<sst xmlns="http://schemas.openxmlformats.org/spreadsheetml/2006/main" count="5525" uniqueCount="1379">
  <si>
    <t>BIA</t>
  </si>
  <si>
    <t>BLM</t>
  </si>
  <si>
    <t>FWS</t>
  </si>
  <si>
    <t>NPS</t>
  </si>
  <si>
    <t>OWF</t>
  </si>
  <si>
    <t>Total</t>
  </si>
  <si>
    <t>Total w/o OS</t>
  </si>
  <si>
    <t>FY2021 FTE Preparedness</t>
  </si>
  <si>
    <t>FY2021 FTE percent</t>
  </si>
  <si>
    <t>2022 Fixed Costs</t>
  </si>
  <si>
    <t>FY2021 FTE Fuels</t>
  </si>
  <si>
    <t xml:space="preserve">FY2021 FTE BAR </t>
  </si>
  <si>
    <t>Percent distribution based on 5 year average acres burned L-48 (2016-2020)</t>
  </si>
  <si>
    <t>Update %, based on Preliminary BAR Distribution spreadsheet</t>
  </si>
  <si>
    <t>Distribution from 04/19/2021 Analysis</t>
  </si>
  <si>
    <t>FY2012 HFPAS Calculation</t>
  </si>
  <si>
    <t>FY2013 HFPAS Calculation</t>
  </si>
  <si>
    <t>FY2015 Fuels Allocation %</t>
  </si>
  <si>
    <t>FY 2016 Fuels Allocation %</t>
  </si>
  <si>
    <t>FY 2016 Fuels Allocation % including bureau hold harmless and BLM risk based one-time funding</t>
  </si>
  <si>
    <t>FY 2017 Fuels Allocation % as per  Dep Sec memo methodology, 10/25/2016</t>
  </si>
  <si>
    <t>FY 2018 Fuels Allocation % as per  Dep Sec memo methodology, 10/25/2016</t>
  </si>
  <si>
    <t>FY 2019 Fuels Allocation % as per  Dep Sec memo methodology, 10/25/2016</t>
  </si>
  <si>
    <t xml:space="preserve">FY 2016 Preparedness Allocation % </t>
  </si>
  <si>
    <t>FY 2016 Preparedness Allocation % less BIA tribal contract and administrative support moved to designated funding, and including bureau hold harmless and BLM risk based one-time funding</t>
  </si>
  <si>
    <t>FY 2017 Preparedness Allocation % as per  Dep Sec memo methodology, 10/25/2016</t>
  </si>
  <si>
    <t>FY 2018 Preparedness Allocation % as per  Dep Sec memo methodology, 10/25/2016</t>
  </si>
  <si>
    <t>Applied to funding levels above FY 2017 base operational level</t>
  </si>
  <si>
    <t>FY 2019 Preparedness Allocation % as per  Dep Sec memo methodology, 10/25/2016</t>
  </si>
  <si>
    <t>FY2015 Preparedness:Fuels Split for Jointly funded projects</t>
  </si>
  <si>
    <t>Adjust to Formula when Funding more certain</t>
  </si>
  <si>
    <t>Formula for Prep/Fuels Split once Funding more certain</t>
  </si>
  <si>
    <t>Prep</t>
  </si>
  <si>
    <t>Fuels</t>
  </si>
  <si>
    <t>Parent</t>
  </si>
  <si>
    <t>Preparedness</t>
  </si>
  <si>
    <t xml:space="preserve"> FY 2021 Direct Prep Allocations</t>
  </si>
  <si>
    <t>Remained at FY 2017 Connor memo allocation percent</t>
  </si>
  <si>
    <t>Without Fixed Cost allocation</t>
  </si>
  <si>
    <t>FY 2021 Program Additions and Subtractions</t>
  </si>
  <si>
    <t>Revised Allocation %</t>
  </si>
  <si>
    <t>Allocation w/o OWF</t>
  </si>
  <si>
    <t xml:space="preserve"> FY 2021 Direct Program Fuels Allocations</t>
  </si>
  <si>
    <t>Remained at FY 2017 direct funding level</t>
  </si>
  <si>
    <t>Without Fixed Cost allocation or Southern Boarder/Initiative Funding</t>
  </si>
  <si>
    <t>Resulting Allocation w/o OS</t>
  </si>
  <si>
    <t>Estimated Allocation Percentages for Fuels Base Operational Funding, FY2017-FY2019</t>
  </si>
  <si>
    <t>EVAB Percentage</t>
  </si>
  <si>
    <t>FY 2016 Percentage (Historic)</t>
  </si>
  <si>
    <t>FY 2017 Percentage (Historic) including bureau hold harmless and BLM risk based one-time funding</t>
  </si>
  <si>
    <t>85 Historic/15 EVAB (FY2017)</t>
  </si>
  <si>
    <t>80 Historic/20 EVAB (FY2018)</t>
  </si>
  <si>
    <t>Unchanged - remained at FY 2017 funding level</t>
  </si>
  <si>
    <t>75 Historic/25 EVAB (FY2019)</t>
  </si>
  <si>
    <t>Date</t>
  </si>
  <si>
    <t>Change</t>
  </si>
  <si>
    <t>Updated Common Services project sheets as provided by bureau/project leads</t>
  </si>
  <si>
    <t>Updated 2022 Common Services project sheets based on adjustments provided</t>
  </si>
  <si>
    <t>Update 2021 amounts based on adjustments to FY 2021 DOI Allocation spreadsheet information</t>
  </si>
  <si>
    <t>Updated 2022 Common Services project sheets based on Fire Director review</t>
  </si>
  <si>
    <t>Inserted all of the common services requests at CR level and CR budget amounts as agreed to</t>
  </si>
  <si>
    <t>Update BAR allocation percentages based on approved amounts</t>
  </si>
  <si>
    <t>Update WFDSS project sheet FTE transfer from OWF to NPS and increase of funding of the position by $17K</t>
  </si>
  <si>
    <t>Update InForm project sheet to provide BLM funding for interim and contract cost.</t>
  </si>
  <si>
    <t>Update Prep/Fuels MOU for FCG IAA cost for FY 2022</t>
  </si>
  <si>
    <t>Include OWF Base funding for Prep and Fuels; include adjustment for Smoke Study paid from FY 2021 funding ~ Prep ($57K) and Fuels ($173K).</t>
  </si>
  <si>
    <t>Adjust PM cost (Fuels ~ $173K) from Base OWF funding to WFDSS (50%) and FireNet (50%)</t>
  </si>
  <si>
    <t>Adjust Personnel related WFDSS cost ($10K) from OWF to NPS in support of transferred FTE</t>
  </si>
  <si>
    <t>Remove NWCG note (no longer relevant) related to Katie's now filled position.</t>
  </si>
  <si>
    <t>Adjust Suppression allocations, retaining more in Parent than originally anticipated.</t>
  </si>
  <si>
    <t>Adjust FS funding (NWCG SLA)</t>
  </si>
  <si>
    <t>Include Disaster Relief Funding in Allocation Spreadsheet</t>
  </si>
  <si>
    <t>Correct FWS/NPS BAR allocation percentages (amounts were reversed).</t>
  </si>
  <si>
    <t>Update Data Mgmt Project Sheet and apply reduced cost ($125K) to reduce IRWIN adjustment reduction</t>
  </si>
  <si>
    <t>Correct Inform Project amounts reflected in WFIT Project Summary for Prep and Fuels.</t>
  </si>
  <si>
    <t>Update CAD FS funding to be included in annual MOU</t>
  </si>
  <si>
    <t>Apply allocation percentages to Fuels Disaster relief funding and allocate BAR Disaster relief funding as requested</t>
  </si>
  <si>
    <t>Record Facilities Reallocation to Suppression; Suppression transfers to BIA, NPS, and OS; InFORM funding from OWF to BLM for contract PR; and NFPORS funding ($615K) to InFORM</t>
  </si>
  <si>
    <t>Record BIA Preparedness ($6M) and Fuels ($7M) Reallocation to Suppression</t>
  </si>
  <si>
    <t>Adjust LMS FS contribution ($129K) on NWCG Projects tab, per update provided by Rick G on 11/19/21.  Correct NWCG Project allocation calculation.  Update Fuels Agreements project information.</t>
  </si>
  <si>
    <t>Record Disaster Relief Transfer</t>
  </si>
  <si>
    <t>Update project sheets to reflect carryover defraying FY 2022 Dept-wide project costs: WFDSS ($27K); WFMRD&amp;A ($26K); and Med Stds Exams ($745K).</t>
  </si>
  <si>
    <t>Record CR2 funding level and transfer amounts</t>
  </si>
  <si>
    <t>DOI Wildland Fire Management Allocation</t>
  </si>
  <si>
    <t>Enacted    FY 2021</t>
  </si>
  <si>
    <t>CR Level         FY 2022</t>
  </si>
  <si>
    <t>Targets          FY 2022</t>
  </si>
  <si>
    <t>NOTE: CR Rows hidden; not currently needed</t>
  </si>
  <si>
    <t>Wildland Fire Preparedness</t>
  </si>
  <si>
    <t>FY 2021 Enacted Appropriation</t>
  </si>
  <si>
    <t>FY 2022 Fixed Costs</t>
  </si>
  <si>
    <t>FY 2022 Program Change (program reduction/increase)</t>
  </si>
  <si>
    <t>FY 2022 Program Change (ATB)</t>
  </si>
  <si>
    <t>FY 2022 Enacted</t>
  </si>
  <si>
    <t>Department Common Services &amp; Designated Funding</t>
  </si>
  <si>
    <t>Available for Direct</t>
  </si>
  <si>
    <t>Percentage Distribution w/o Dept wide &amp; OWF</t>
  </si>
  <si>
    <t>Maintained FY 2017 allocation percentages from the Connor Memo</t>
  </si>
  <si>
    <t>Fixed costs by agency</t>
  </si>
  <si>
    <t>Workforce Transformation</t>
  </si>
  <si>
    <t xml:space="preserve">Direct Program </t>
  </si>
  <si>
    <t>Program Adjustment to FY 2017 Funding level</t>
  </si>
  <si>
    <t>Service Level Agreements</t>
  </si>
  <si>
    <t>Carryover Distribution by Bureau</t>
  </si>
  <si>
    <t>Total Allocation by Bureau/Office w/Carryover distribution</t>
  </si>
  <si>
    <t>% of total</t>
  </si>
  <si>
    <t>3rd CR transfer level</t>
  </si>
  <si>
    <t>2nd CR transfer level</t>
  </si>
  <si>
    <t>Reverse Reallocation of Preparedness Funding</t>
  </si>
  <si>
    <t>Reallocate Preparedness Funding to Suppression</t>
  </si>
  <si>
    <t>1st CR transfer level</t>
  </si>
  <si>
    <t>Balance of Full Year</t>
  </si>
  <si>
    <t>Total Allocation by Bureau/Office</t>
  </si>
  <si>
    <t>Wildland Fire Suppression</t>
  </si>
  <si>
    <t>FY 2022 Program Change (Maintain 10-Yr Avg at FY15 Level)</t>
  </si>
  <si>
    <t>Initial Percentage Distribution based on 40% of 10-year avg (2011 - 2020)</t>
  </si>
  <si>
    <t>Updated percentages for allocation after FY 2020 year end</t>
  </si>
  <si>
    <t>Direct Program</t>
  </si>
  <si>
    <t>40% of 10-yr avg suppression only</t>
  </si>
  <si>
    <t>Additional Transfers</t>
  </si>
  <si>
    <t>2nd CR transfer - Additional Suppression allocation</t>
  </si>
  <si>
    <t>Suppression allocation from Facilities</t>
  </si>
  <si>
    <t>Transfer from facilities</t>
  </si>
  <si>
    <t>2nd CR  transfer level</t>
  </si>
  <si>
    <t>Reverse Reallocation of Prep, Fuels, and Facilities Funding</t>
  </si>
  <si>
    <t>Reallocate Preparedness and Fuels Funding to Suppression</t>
  </si>
  <si>
    <t>1st CR transfer - Suppression allocation from Facilities</t>
  </si>
  <si>
    <t>Wildland Fire Suppression CAP Adjustment</t>
  </si>
  <si>
    <t>FY 2022 Program Change</t>
  </si>
  <si>
    <t>Wildland Fire Fuels Management</t>
  </si>
  <si>
    <t>Program Adjustment - New Base Funding</t>
  </si>
  <si>
    <t>Program Adjustment/Activity Support</t>
  </si>
  <si>
    <t>Reallocate Fuels Funding to Suppression</t>
  </si>
  <si>
    <t>Disaster Relief</t>
  </si>
  <si>
    <t>Adjustment for Carryover</t>
  </si>
  <si>
    <t>Disaster Relief ~ Fuels Management</t>
  </si>
  <si>
    <t>Disaster Relief ~ BAR</t>
  </si>
  <si>
    <t>Bipartisan Infrastructure Law</t>
  </si>
  <si>
    <t>OIG 0.5% Funding Transfer</t>
  </si>
  <si>
    <t>Infrastructure ~ Preparedness</t>
  </si>
  <si>
    <t>Infrastructure ~ Fuels Management</t>
  </si>
  <si>
    <t>Infrastructure ~ BAR</t>
  </si>
  <si>
    <t>Infrastructure ~JFSP</t>
  </si>
  <si>
    <t xml:space="preserve">Wildland Fire Burned Area Rehabilitation </t>
  </si>
  <si>
    <t xml:space="preserve">Wildland Fire Facilities </t>
  </si>
  <si>
    <t>3% - Disposal and Consolidation</t>
  </si>
  <si>
    <t>Distribution of A&amp;E Design</t>
  </si>
  <si>
    <t>Reverse Reallocation of Facilities Funding</t>
  </si>
  <si>
    <t>Reallocate Facilities Funding to Suppression</t>
  </si>
  <si>
    <t>Wildland Fire Joint Fire Science</t>
  </si>
  <si>
    <t>Wildland Fire Summary</t>
  </si>
  <si>
    <t>Cancellation of PY Authority</t>
  </si>
  <si>
    <t>Funds for repayment of prior year borrowing</t>
  </si>
  <si>
    <t>Other Adjustments</t>
  </si>
  <si>
    <t>Transfers in addition to CR amount</t>
  </si>
  <si>
    <t>Carryover Transfer</t>
  </si>
  <si>
    <t>Suppression Transfer</t>
  </si>
  <si>
    <t>Check                                                                                                                 Enacted w/Carryover</t>
  </si>
  <si>
    <t>Transfers:</t>
  </si>
  <si>
    <t>Initial CR</t>
  </si>
  <si>
    <t>Initial CR Transfer</t>
  </si>
  <si>
    <t>InFORM Transfer</t>
  </si>
  <si>
    <t>Disaster Relief Transfer</t>
  </si>
  <si>
    <t>2nd CR Funding</t>
  </si>
  <si>
    <t>2nd CR Transfer</t>
  </si>
  <si>
    <t>WFM Enacted Funding</t>
  </si>
  <si>
    <t>Enacted Transfer Adjusted Prep, Supp, Facilities, and JFSP</t>
  </si>
  <si>
    <t>Enacted Partial Transfer BAR</t>
  </si>
  <si>
    <t>Enacted Transfer Adjusted Fuels BLM, FWS, &amp; OWF</t>
  </si>
  <si>
    <t>Dept. Initiatives Funding - CA (BLM &amp; FWS)</t>
  </si>
  <si>
    <t>Enacted Transfer Adjusted Fuels BIA &amp; NPS</t>
  </si>
  <si>
    <t>Dept. Initiatives Funding - CA (BIA &amp; NPS)</t>
  </si>
  <si>
    <t>Department-Wide Activities Project Summary</t>
  </si>
  <si>
    <t>ATB</t>
  </si>
  <si>
    <t>Preparedness Common Services</t>
  </si>
  <si>
    <t>Type</t>
  </si>
  <si>
    <t>FY 2021 Enacted</t>
  </si>
  <si>
    <t>FY 2022 Planned Cost</t>
  </si>
  <si>
    <t>Total with ATB Applied</t>
  </si>
  <si>
    <t>Aviation Assets</t>
  </si>
  <si>
    <t>Ops</t>
  </si>
  <si>
    <t>Collaborative Implementation (Preparedness Share)</t>
  </si>
  <si>
    <t>Support</t>
  </si>
  <si>
    <t>DOI Department-Wide Activities Prep Agreements</t>
  </si>
  <si>
    <t>Incident Technology Support Specialist (ITSS) Training</t>
  </si>
  <si>
    <t>Lessons Learned Center (LLC) Support (Preparedness Share)</t>
  </si>
  <si>
    <t>Lightning Detection</t>
  </si>
  <si>
    <t>Medical Standards Operations</t>
  </si>
  <si>
    <t>WFMRD&amp;A</t>
  </si>
  <si>
    <t>IT (WFIT) Projects  (Preparedness Share)</t>
  </si>
  <si>
    <t>IT</t>
  </si>
  <si>
    <t>Preparedness Designated Funding</t>
  </si>
  <si>
    <t>BIA Tribal Contract and Support</t>
  </si>
  <si>
    <t>BIA Workforce Development</t>
  </si>
  <si>
    <t>Alaska Fire Service Utility Cost Increase</t>
  </si>
  <si>
    <t>Rural Fire Readiness</t>
  </si>
  <si>
    <t xml:space="preserve"> Total Preparedness Department-Wide Activities</t>
  </si>
  <si>
    <t>CR ATB</t>
  </si>
  <si>
    <t>Fuels Management Common Services</t>
  </si>
  <si>
    <t>Collaborative Implementation (Fuels Share)</t>
  </si>
  <si>
    <t>DOI Department-Wide Activities HFR Agreements</t>
  </si>
  <si>
    <t>Lessons Learned Center (LLC) Support (Fuels Share)</t>
  </si>
  <si>
    <t>SageSTEP</t>
  </si>
  <si>
    <t>IT (WFIT) Projects  (Fuels Share)</t>
  </si>
  <si>
    <t>Fuels Management Designated Funding</t>
  </si>
  <si>
    <t>Tribal Trust Land Projects</t>
  </si>
  <si>
    <t>Total Fuels Management Department-Wide Activities</t>
  </si>
  <si>
    <t xml:space="preserve">Burned Area Rehabilitation Department-wide Activities </t>
  </si>
  <si>
    <t>BAR National Program Management</t>
  </si>
  <si>
    <t>Total BAR Department-Wide Activities</t>
  </si>
  <si>
    <t>Service Level Agreements Preparedness</t>
  </si>
  <si>
    <t>Casual Pay Center (CPC) Allocation</t>
  </si>
  <si>
    <t>Contribution</t>
  </si>
  <si>
    <t>Fire Integrated Recruitment Employment (FIRES) (Prep Share)</t>
  </si>
  <si>
    <t>Medical Standards Examinations Allocation</t>
  </si>
  <si>
    <t>Misc and One-Time Service Level Agreements Allocation</t>
  </si>
  <si>
    <t>Other</t>
  </si>
  <si>
    <t>NIFC Site &amp; Admin Allocation</t>
  </si>
  <si>
    <t>NWCG Staff Allocation</t>
  </si>
  <si>
    <t>NWCG Prep Projects Allocation</t>
  </si>
  <si>
    <t>Remote Automated Weather Station (RAWS) Allocation</t>
  </si>
  <si>
    <t>FireNET Licensing</t>
  </si>
  <si>
    <t>Total Preparedness Service Level Agreements</t>
  </si>
  <si>
    <t>Service Level Agreements Hazardous Fuels</t>
  </si>
  <si>
    <t>Fire Integrated Recruitment Employment (FIRES) (Fuels Share)</t>
  </si>
  <si>
    <t>IT (WFIT) Department-Wide Activities Project Summary</t>
  </si>
  <si>
    <t>ATB %</t>
  </si>
  <si>
    <t>Preparedness Department-Wide Activities</t>
  </si>
  <si>
    <t>ArcGIS Online (AGOL) Collector</t>
  </si>
  <si>
    <t>Contracted Resources Obligation System (CROS)</t>
  </si>
  <si>
    <t>CAD</t>
  </si>
  <si>
    <t>FIRECODE</t>
  </si>
  <si>
    <t>FIRENET</t>
  </si>
  <si>
    <t>FxNET - Advanced Weather Interactive Processing System       (AWIPSII)</t>
  </si>
  <si>
    <t>Incident Qualification &amp; Certififcation System (IQCS)                        (Prep Share)</t>
  </si>
  <si>
    <r>
      <t xml:space="preserve">INFORM </t>
    </r>
    <r>
      <rPr>
        <sz val="9"/>
        <color theme="1"/>
        <rFont val="Calibri"/>
        <family val="2"/>
        <scheme val="minor"/>
      </rPr>
      <t>(Formerly FORApp)</t>
    </r>
    <r>
      <rPr>
        <sz val="11"/>
        <color theme="1"/>
        <rFont val="Calibri"/>
        <family val="2"/>
        <scheme val="minor"/>
      </rPr>
      <t xml:space="preserve"> (Prep Share)</t>
    </r>
  </si>
  <si>
    <t>Integrated Reporting Wildfire Information (IRWIN)</t>
  </si>
  <si>
    <t>SAFENET</t>
  </si>
  <si>
    <t>WFIT Data Management (Prep Share)</t>
  </si>
  <si>
    <t>WFIT Staff &amp; Services (Prep share)</t>
  </si>
  <si>
    <t>Wildfire Decision Support System (WFDSS)</t>
  </si>
  <si>
    <t>WFMI - Fire Reporting</t>
  </si>
  <si>
    <t>WFMI - Lightning</t>
  </si>
  <si>
    <t>WFMI - Unit ID</t>
  </si>
  <si>
    <t>WFMI - Weather</t>
  </si>
  <si>
    <t xml:space="preserve">Fuels Management Department-Wide Activities </t>
  </si>
  <si>
    <t>Active Lands Management and Shared Stewardship Solution</t>
  </si>
  <si>
    <t>FEAT/FIREMON (FFI)</t>
  </si>
  <si>
    <t>Fire Effects Information System (FEIS)</t>
  </si>
  <si>
    <t>Incident Qualification &amp; Certififcation System (IQCS) (Fuels Share)</t>
  </si>
  <si>
    <t>IFT-DSS</t>
  </si>
  <si>
    <r>
      <t xml:space="preserve">INFORM </t>
    </r>
    <r>
      <rPr>
        <sz val="9"/>
        <color theme="1"/>
        <rFont val="Calibri"/>
        <family val="2"/>
        <scheme val="minor"/>
      </rPr>
      <t>(Formerly FORApp)</t>
    </r>
    <r>
      <rPr>
        <sz val="11"/>
        <color theme="1"/>
        <rFont val="Calibri"/>
        <family val="2"/>
        <scheme val="minor"/>
      </rPr>
      <t xml:space="preserve"> (Fuels Share)</t>
    </r>
  </si>
  <si>
    <t>LANDFIRE</t>
  </si>
  <si>
    <t>Monitoring Trends in Burn Severity (MTBS)</t>
  </si>
  <si>
    <t>National Fire Plan Operations &amp; Reporting System (NFPORS)</t>
  </si>
  <si>
    <t>WFIT Data Management (Fuels Share)</t>
  </si>
  <si>
    <t>WFIT Staff &amp; Services (Fuels share)</t>
  </si>
  <si>
    <t>Request FY 2021:</t>
  </si>
  <si>
    <t>Request FY 2022:</t>
  </si>
  <si>
    <t>===========================================================</t>
  </si>
  <si>
    <t>Base    FY 2017</t>
  </si>
  <si>
    <t>FY 2018 Reduced Allocation based on FY 2017 less 15%</t>
  </si>
  <si>
    <t>Budgeted FY 2018 Reduced Allocation</t>
  </si>
  <si>
    <t>Actual       FY 2018 Allocation based on FY 2017 Funding Level</t>
  </si>
  <si>
    <t>FY 2019 Reduced Allocation based on FY 2017 less 20%</t>
  </si>
  <si>
    <t>Original WFIT Request for FY 2019 Allocation</t>
  </si>
  <si>
    <t>Budgeted FY 2019 Reduced Allocation</t>
  </si>
  <si>
    <t xml:space="preserve">Actual       FY 2019 Allocation </t>
  </si>
  <si>
    <t>FY 2020 Budget based on FY 2017 plus 3% inflation</t>
  </si>
  <si>
    <t>Actual FY 2020 Budget based on FY 2017 plus 3% inflation</t>
  </si>
  <si>
    <t>Original WFIT Request for FY 2021 Allocation</t>
  </si>
  <si>
    <t xml:space="preserve">Actual       FY 2021 Allocation </t>
  </si>
  <si>
    <t>Original WFIT Request for FY 2022 Allocation</t>
  </si>
  <si>
    <t>Total WFIT Funding Level</t>
  </si>
  <si>
    <t>Project Lead: Brad Gibbs. BLM</t>
  </si>
  <si>
    <t>Updated</t>
  </si>
  <si>
    <t xml:space="preserve">Budget Lead: </t>
  </si>
  <si>
    <t>Name</t>
  </si>
  <si>
    <t>BOC</t>
  </si>
  <si>
    <t>FY 2021 Funded Aircraft</t>
  </si>
  <si>
    <t>FY 2021 Amount</t>
  </si>
  <si>
    <t>FY 2022 Funded Aircraft</t>
  </si>
  <si>
    <t>FY 2022 Amount</t>
  </si>
  <si>
    <t>Forest Service</t>
  </si>
  <si>
    <t>Comment</t>
  </si>
  <si>
    <t>Personnel (Salaries &amp; Benefits Only)</t>
  </si>
  <si>
    <t>Gov Labor:  Job Title</t>
  </si>
  <si>
    <t>111/12*</t>
  </si>
  <si>
    <t>Subtotal Personnel</t>
  </si>
  <si>
    <t>Agreements with Federal Agencies</t>
  </si>
  <si>
    <t xml:space="preserve">Gov Agrmt: </t>
  </si>
  <si>
    <t xml:space="preserve">Gov Agrmt:  </t>
  </si>
  <si>
    <t>Gov Agrmt:</t>
  </si>
  <si>
    <t xml:space="preserve">Gov Agreement:  </t>
  </si>
  <si>
    <t>Subtotal Agreements</t>
  </si>
  <si>
    <t>Operational</t>
  </si>
  <si>
    <t>Travel and Transportation of Persons</t>
  </si>
  <si>
    <t>21*</t>
  </si>
  <si>
    <t>Transportation of Things (Freight/Shipping)</t>
  </si>
  <si>
    <t>22*</t>
  </si>
  <si>
    <t>Rent, Communications, and Utilities</t>
  </si>
  <si>
    <t>23*</t>
  </si>
  <si>
    <t>Printing and Reproduction</t>
  </si>
  <si>
    <t>24*</t>
  </si>
  <si>
    <t>Advisory and Assistance Contractual Services</t>
  </si>
  <si>
    <t>Other Non-Federal Contractual Services AT/Scoopers</t>
  </si>
  <si>
    <t>Other Non-Federal Contractual Services SEATs</t>
  </si>
  <si>
    <t>Other Non-Federal Contractual Services Helo T1</t>
  </si>
  <si>
    <t>Other Non-Federal Contractual Services Helo T2</t>
  </si>
  <si>
    <t>Other Non-Federal Contractual Services Helo T3</t>
  </si>
  <si>
    <r>
      <t>Includes add 1 BIA T3 Helo for FY22, NPS add 1 T-3 in FY21(Everglades) for a total add of 2 T-3 helos for FY22.</t>
    </r>
    <r>
      <rPr>
        <sz val="11"/>
        <color rgb="FFFF0000"/>
        <rFont val="Calibri"/>
        <family val="2"/>
        <scheme val="minor"/>
      </rPr>
      <t xml:space="preserve">  FD decision to fund NPS helo replacing fleet aircraft in Everglades.  No additional funding available for BIA aircraft.</t>
    </r>
  </si>
  <si>
    <t>Other Non-Federal Contractual Services Other</t>
  </si>
  <si>
    <r>
      <t xml:space="preserve">Does not Include add of 2 BIA ATGS in FY 2021. Includes add of 2 BIA ATGS beginning in FY 2022.  Contract aircraft with DRTI demonstrated capabilities, transitioning from sole-source National Guard Aircraft to accomplish program objectives.  </t>
    </r>
    <r>
      <rPr>
        <sz val="11"/>
        <color rgb="FFFF0000"/>
        <rFont val="Calibri"/>
        <family val="2"/>
        <scheme val="minor"/>
      </rPr>
      <t>FD decision not to fund BIA aircraft request.  No additional funding available.</t>
    </r>
  </si>
  <si>
    <t>Other Non-Federal Contractual Services</t>
  </si>
  <si>
    <t>Tuition/Training/Registration Fees</t>
  </si>
  <si>
    <t>Fleet Usage</t>
  </si>
  <si>
    <t>Research &amp; Development Contracts</t>
  </si>
  <si>
    <t>Medical &amp; Health Care Services</t>
  </si>
  <si>
    <t>Repair &amp; Maintenance of Equipment</t>
  </si>
  <si>
    <t>Supplies and Materials</t>
  </si>
  <si>
    <t>26*</t>
  </si>
  <si>
    <t>Equipment</t>
  </si>
  <si>
    <t>31*</t>
  </si>
  <si>
    <t>Project Adjustment</t>
  </si>
  <si>
    <t>XXX</t>
  </si>
  <si>
    <t>Adjust bureau project funding to FY 2021 plus NPS T-3 add of $240K for Everglades.</t>
  </si>
  <si>
    <t>Subtotal Operational Costs</t>
  </si>
  <si>
    <t>Carryover available to defray costs</t>
  </si>
  <si>
    <t>Total Estimated Project Costs</t>
  </si>
  <si>
    <t>FY 2020 aviation funding level held at FY 2017 enacted level.  FY 2021 to Bureau provided at FY 2020 plus 3%. FY 2022 held at FY 2021 level, plus NPS T-3 Helo for Everglades ($240K)</t>
  </si>
  <si>
    <t>PROJECT NARRATIVE</t>
  </si>
  <si>
    <t>Request Summary</t>
  </si>
  <si>
    <t>FY 2020 Planned Amount</t>
  </si>
  <si>
    <t>FY 2021 Request</t>
  </si>
  <si>
    <t>Requested Change in Funding</t>
  </si>
  <si>
    <t>% Change</t>
  </si>
  <si>
    <t>Project Objectives</t>
  </si>
  <si>
    <t>Project Description</t>
  </si>
  <si>
    <t>FY 2021 Project Plan</t>
  </si>
  <si>
    <t>Briefly describe FY 2021 deliverables and any budget or implementation changes from FY 2020.</t>
  </si>
  <si>
    <t>Relevant Authorities/Mandates</t>
  </si>
  <si>
    <r>
      <t xml:space="preserve">Funding Impacts </t>
    </r>
    <r>
      <rPr>
        <sz val="10"/>
        <color theme="1"/>
        <rFont val="Arial"/>
        <family val="2"/>
      </rPr>
      <t>(</t>
    </r>
    <r>
      <rPr>
        <i/>
        <sz val="10"/>
        <color theme="1"/>
        <rFont val="Arial"/>
        <family val="2"/>
      </rPr>
      <t>for Common Services only)</t>
    </r>
  </si>
  <si>
    <t>Reduction Scenario</t>
  </si>
  <si>
    <t>Briefly explain what tradeoffs would be made if funding level is not received at the requested level. At minimum, present options at FY 2020 straight-line and 5% reduction level from request.</t>
  </si>
  <si>
    <t>Overtarget Scenario</t>
  </si>
  <si>
    <t>If the total amount of the budget request has changed by over 10% from the planned amount, clearly document the reason for the increase, how the additional funding will benefit WFM program objectives, and why the increase is necessary this fiscal year.</t>
  </si>
  <si>
    <t>Preparedness &amp; Fuels Department-Wide Activities</t>
  </si>
  <si>
    <t>Collaborative Implementation</t>
  </si>
  <si>
    <t>Project Lead: Craig Leff, OWF</t>
  </si>
  <si>
    <t>Budget Lead:  Amy Kishpaugh, OWF</t>
  </si>
  <si>
    <t xml:space="preserve">Funded FTE </t>
  </si>
  <si>
    <t>.</t>
  </si>
  <si>
    <t>Gov Agreement:  FS - 50% cost-share of FTE to USFS</t>
  </si>
  <si>
    <t xml:space="preserve">WFLC Admin </t>
  </si>
  <si>
    <t>This funds 50% of the WFLC Admin position.  Funding is provided as a transfer to USFS, who maintains the contract for the FTE.</t>
  </si>
  <si>
    <t>Gov Agreement:  Purpose/Description</t>
  </si>
  <si>
    <t xml:space="preserve">Operational </t>
  </si>
  <si>
    <t>Adjusted CR Level</t>
  </si>
  <si>
    <t>Calculated</t>
  </si>
  <si>
    <t>FY 2021</t>
  </si>
  <si>
    <t>Actual</t>
  </si>
  <si>
    <t>FY 2021 Request Amount</t>
  </si>
  <si>
    <t>FY 2022 Target Request</t>
  </si>
  <si>
    <t>Implement primary collaborative activities for WFLC.</t>
  </si>
  <si>
    <t>Funding is used to support several collaborative activities that are essential for DOI implement through Wildland Fire Leadership Council.</t>
  </si>
  <si>
    <t>FY 2022 Project Plan</t>
  </si>
  <si>
    <t xml:space="preserve">Continue supporting WFLC priority policy initiatives and goals for Smoke Management and Air Quality, Mitigating Post Fire Impacts, America Burning: WUI, and Large Landscape: Cross-boundary Framework and Criteria. </t>
  </si>
  <si>
    <t>National Cohesive Wildland Fire Management Strategy, DOI Strategic Plan, Wildland Fire Management Appropriations</t>
  </si>
  <si>
    <t>Briefly explain what tradeoffs would be made if funding level is not received at the requested level. At minimum, present options at FY 2021 straight-line and 5% reduction level from request.</t>
  </si>
  <si>
    <t>DOI Preparedness Agreements</t>
  </si>
  <si>
    <t>Project Lead: Kim Van Hemelryck, OWF</t>
  </si>
  <si>
    <t>Budget Lead: Amy Kishpaugh, OWF</t>
  </si>
  <si>
    <t>Gov Agreement:  Ready-Set-Go Initiative</t>
  </si>
  <si>
    <t>FS Transfer</t>
  </si>
  <si>
    <t>Program funding provided to the USFS by the DOI to support the wildfire preparedness initiative of the International Association of Fire Chiefs (IAFC), Wildland Fire Policy Committee wildland urban interface (WUI) project, and the IAFC annual WUI conference. Funding to IAFC focuses on supporting the existing Ready, Set, Go! 
POC: Kim VanHemelryk</t>
  </si>
  <si>
    <t>Gov Agrmt:  Stratified Cost Index</t>
  </si>
  <si>
    <t>FS Agreement</t>
  </si>
  <si>
    <t>Gov Agrmt:  FLAME Suppression Forecasts</t>
  </si>
  <si>
    <t>This Interagency Agreement establishes cooperation between OWF and the USDA Forest Service, Southern Research Station to provide forecasting of federal wildfire suppression expenditures. This includes the development and maintenance of outyear, FLAME and monthly forecast and other activities as agreed.
POC: Thao Tran</t>
  </si>
  <si>
    <t xml:space="preserve">Gov Agreement: </t>
  </si>
  <si>
    <t>ITSS Training Course - Cadre Support</t>
  </si>
  <si>
    <t>Project Lead:   Erik Torres-Jacquez, NPS</t>
  </si>
  <si>
    <t>Budget Lead:  Mark Koontz, NPS</t>
  </si>
  <si>
    <t>Agency</t>
  </si>
  <si>
    <t>Gov Agreement:</t>
  </si>
  <si>
    <t>Vendor (if known)</t>
  </si>
  <si>
    <t xml:space="preserve">Funding supports the travel needs for an interagency cadre to teach two national ITSS courses. Make up of cadre shifted in FY20 thus less request in BLM and more in NPS. </t>
  </si>
  <si>
    <t>Contract for maintenance of materials and content.</t>
  </si>
  <si>
    <t>Program Adjustment</t>
  </si>
  <si>
    <t>Carryover from FY21 and FY21 due to COVID</t>
  </si>
  <si>
    <t>Total Estimated Project Costs                         (All Funding Sources)</t>
  </si>
  <si>
    <t>DOI share</t>
  </si>
  <si>
    <t>Balance of Account</t>
  </si>
  <si>
    <t>FY 2022</t>
  </si>
  <si>
    <t>FS Total Portion of Program Cost</t>
  </si>
  <si>
    <t>Provide a standard training course for the Incident Technology Support Specialist (ITSS) position.
 Train new ITSS’s on the latest Wildland Fire Information Technology techniques, processes, policy, and technology.</t>
  </si>
  <si>
    <t>FS Allocation of Program Funds</t>
  </si>
  <si>
    <t>FS transfer required to DOI</t>
  </si>
  <si>
    <t xml:space="preserve">Provide a standard training course for the Incident Technology Support Specialist (ITSS) position.
								</t>
  </si>
  <si>
    <t>Train new ITSS’s on the latest Wildland Fire Information Technology techniques, processes, policy, and technology.</t>
  </si>
  <si>
    <t>Hold two national ITSS courses. Plan in FY22 is to use FY20/FY21 carryover funds from FS and BLM for the FY22 request. FY20 and FY21 NPS 15K funds were used for procurement of hardware needed by the ITSS Cadre.</t>
  </si>
  <si>
    <t>If a funding level reduction occurred, the Cadre would adapt and only teach one course at NIFC. However, the need for qualified ITSS continue to grow while the ITSS pool continues to shrink.</t>
  </si>
  <si>
    <t>Wildland Fire LLC Support</t>
  </si>
  <si>
    <t>Project Lead: Kelly Woods/NPS</t>
  </si>
  <si>
    <t>Budget Lead:</t>
  </si>
  <si>
    <t>Gov Labor:  Lessons Learned Center Director</t>
  </si>
  <si>
    <t>Kelly Woods</t>
  </si>
  <si>
    <t>Gov Labor:  Lessons Learned Center Analyst</t>
  </si>
  <si>
    <t>Dotson, Travis</t>
  </si>
  <si>
    <t>Gov Agreement:  LLC Web Site Support</t>
  </si>
  <si>
    <t>USFS contract</t>
  </si>
  <si>
    <t>Sequestration</t>
  </si>
  <si>
    <t>Estimated travel for two employees</t>
  </si>
  <si>
    <t>Estimated PCS for Vacant (Rosso) position</t>
  </si>
  <si>
    <t>Supplies, and technology support</t>
  </si>
  <si>
    <t>Pre-Carryover Split</t>
  </si>
  <si>
    <t>Includes all of LLC website funding</t>
  </si>
  <si>
    <t>Provide funding for two DOI employees staffing and support of the interagency Wildland Fire Lessons Learned Center (LLC).</t>
  </si>
  <si>
    <t>This funding will provide the LLC with two DOI full-time employees and the support they need to meet their mission. The mission of the LLC is to “promote learning in the wildland fire service by providing useful and relevant products and services that help to reveal the complexity and risk in the wildland fire environment”.</t>
  </si>
  <si>
    <t>The entire wildland fire community benefits from the mission of the LLC. An interagency incident review database is maintained, and useful products and services are shared with the wildland fire community. The LLC collects, stores and provides analysis for incident reviews so others can learn from the incident.</t>
  </si>
  <si>
    <t>The LLC is managed under an interagency agreement supporting not only the federal wildland fire community but state, county and local entities.</t>
  </si>
  <si>
    <t>Impacts would be the loss of the National Wildland Fire Incident Review Database. Additional impacts would be the loss of an interagency center that focuses on risk management, firefighter safety and learning in the wildland fire service.</t>
  </si>
  <si>
    <t>Lightning Detection Services</t>
  </si>
  <si>
    <t>Project Lead:  Robbie Swofford</t>
  </si>
  <si>
    <t>Gov Labor:  Nanette Hosenfeld</t>
  </si>
  <si>
    <t>Lightning Committee decision:Lightnight viewer work (5 hours per week)</t>
  </si>
  <si>
    <t xml:space="preserve">Gov Labor: </t>
  </si>
  <si>
    <t>Sequester</t>
  </si>
  <si>
    <t>Advisory and Assistance Contractual Services:</t>
  </si>
  <si>
    <t>Other Non-Federal Contractual Services:</t>
  </si>
  <si>
    <t>Other: Face-to-Face with stakeholders/contractor</t>
  </si>
  <si>
    <t>Project adjustment to maintain FY 2020/FY 2021 funding level.</t>
  </si>
  <si>
    <t>USFA funding to offset costs (lightning)</t>
  </si>
  <si>
    <t>To provide, display, and maintain historcial lightning data to the fire community.</t>
  </si>
  <si>
    <t>Federal, State and Local Government Wildland Fire Management agencies, activities, and contractors use lightning detection data to (1) aid in locating potential wildland fires, (2) aid in suppressing those fires, and (3) support research for wildland fires and wildland fire suppression.  The Bureau of Land Management (BLM) supports these organization through the purchase and display of commercial lightning detection data for these specified purposes.</t>
  </si>
  <si>
    <t>BLM will contract Earth Networks to provide lightning data.  The EGP group contracted by the USDA will provide the display for the data.  The Western Regional Climate Center will store and maintain the historical data.</t>
  </si>
  <si>
    <t>Guide to Wildland Fire Origin and Cause Determination, PMS 412, April 2016, NFES 1874.  Published by the National Wildfire Coordinating Group.</t>
  </si>
  <si>
    <t xml:space="preserve">If funding was not made available as requested needed enhancments to the program to keep up with changing technology would not be accomplished at a minimum.  Loss of funding could effect the ability to historically store the data creating a gap in lightning research related to wildland fire and the ability to retrieve the data to determine if lightning was the cause of a fire in court litigation.  </t>
  </si>
  <si>
    <t>Funding for the lightning data is 25K.  The NWCG Lightning Unit has determined that a contract with Vaisala is needed to maintain archive data integrity between the old contractor and new contractor of lightning data.  This contract is estimated to cost 15K.  The current lightning viewer is not sufficent to provide the real time data to the field.  It is estimated that the cost of updating the original viewer to receive the data from the new contractor will be 11K.</t>
  </si>
  <si>
    <t>DOI Medical Standards Operations</t>
  </si>
  <si>
    <t>Project Lead: Kaili McCray/OWF</t>
  </si>
  <si>
    <t>Budget Leads:  Bret Amick/Amy Kishpaugh</t>
  </si>
  <si>
    <t>Gov Labor:  Program Manager</t>
  </si>
  <si>
    <t>McCray</t>
  </si>
  <si>
    <t>Gov Labor:  Admin</t>
  </si>
  <si>
    <t>Foshay (GS-9)</t>
  </si>
  <si>
    <t>Gov Labor:  Program Specialist Deputy</t>
  </si>
  <si>
    <t>Bret Amick</t>
  </si>
  <si>
    <t>Gov Labor:  Customer Service Representative</t>
  </si>
  <si>
    <t>Estey</t>
  </si>
  <si>
    <t>Gov Labor:  Contracting Officer</t>
  </si>
  <si>
    <t>Rodman-Snyder NOC (BLM)</t>
  </si>
  <si>
    <t>New Contract/System, COR Training</t>
  </si>
  <si>
    <t xml:space="preserve">Cell Phones </t>
  </si>
  <si>
    <t>ISSO Support</t>
  </si>
  <si>
    <t>Support meetings/RMO orientation for contractors</t>
  </si>
  <si>
    <t>IT Support</t>
  </si>
  <si>
    <t>Misc. Administrative</t>
  </si>
  <si>
    <t>Project adjustment to maintain FY 2020 funding level.</t>
  </si>
  <si>
    <t>DOI Wildland Fire Medical Standards Program seeks the following objectives: 
•   Promote and support health, wellness and safety of all DOI Firefighters.
•   Ensure arduous duty wildland firefighters are medically qualified to perform duties safely in any environment at all times without hazard to themselves or others.
•   Administer, manage and coordinate a consistent medical standards program across all DOI wildland fire bureaus.
•   Facilitate risk assessment and multi-level risk mitigation/waiver process to determine whether individuals not meeting one or more medical standards can still perform safely.
•  Utilize workforce health data to identify emerging health trends and regularly validate and update the established Medical Standards.</t>
  </si>
  <si>
    <t xml:space="preserve">Provide leadership for all DOI fire bureaus on priority issues of health, wellness and safety. Support on-going operations of National DOI contract for medical qualification services. Ensure continuity of DOI national firefighter medical exam and clearance process for all positions requiring medical clearance for arduous duty and/or fitness requirement. </t>
  </si>
  <si>
    <t>Briefly describe FY 2022 deliverables and any budget or implementation changes from FY 2021.</t>
  </si>
  <si>
    <t xml:space="preserve">Anticipated project deliverables include:
•   Prioritization, coordination and leadership on key health, wellness and safety issues impacting firefighters.
•   Ensure readiness and performance of national medical qualification services contractor.
•   Ensure continuity of DOI national firefighter medical exam and clearance process for all positions requiring medical clearance for arduous duty and/or fitness testing.
•   FY22 Increase in advisory services is to ensure sufficient information security support to authorization and assessment of contractor’s medical qualification exam tracking system.  
</t>
  </si>
  <si>
    <t xml:space="preserve">DOI Occupational Medicine Program HB (485 DM 18)
5 CFR 339 - Medical Qualification Determinations </t>
  </si>
  <si>
    <t>FY 2021 straight-line funding impacts (and 5% reduction) would be highly dependent on labor cost inflation. Any reduction from request would require adjustments in travel. Reduction in travel would likely impact COR support to on-site medical exam events and reduce program manager's focus on leadership and coordination in health, wellness, and safety.</t>
  </si>
  <si>
    <t>FY21 funding levels were adjusted downward to maintain 2020 levels, this has and will be absorbed due to travel and training reductions related to COVID-19 as well as delays in filling a vacancy. Some level of necessary travel is expected to resume in FY22. Additionally, funds have been requested to facilitate an IT security assessment of the medical exam contractor's new tracking system. WFM program benefits include increased security of DOI data, improved customer interface, and improved tracking/reporting capability.</t>
  </si>
  <si>
    <t>RD&amp;A Support</t>
  </si>
  <si>
    <t>Project Lead: Chris Buzo</t>
  </si>
  <si>
    <t>Gov Labor:  WFDSS RD&amp;A Support GS-13/6</t>
  </si>
  <si>
    <t>Ernstrom</t>
  </si>
  <si>
    <t>Salary</t>
  </si>
  <si>
    <t>Gov Labor:  WFDSS RD&amp;A Support GS-11/6</t>
  </si>
  <si>
    <t>McClendon</t>
  </si>
  <si>
    <t>Ernstrom and McClendon</t>
  </si>
  <si>
    <t>WFMRDA cloud service contract, previously funded direct by NPS.  To be added to Dept-wide activity in 2017.  Five year contract, FY 21 will be 6th of 7 year option.</t>
  </si>
  <si>
    <t>AWS Hosting for RD&amp;A provided thru OWF</t>
  </si>
  <si>
    <t xml:space="preserve">Covers Materials required such as room rentals, notes, web support, etc. </t>
  </si>
  <si>
    <t xml:space="preserve">Update team members computers, phones, tablets, etc. </t>
  </si>
  <si>
    <t>Maintain FY 2022 funding at FY 2021 level under CR</t>
  </si>
  <si>
    <t xml:space="preserve">Carryover from FY 2021 held in Parent account.  </t>
  </si>
  <si>
    <t>FY 2021 Planned Amount</t>
  </si>
  <si>
    <t>FY 2022 Request</t>
  </si>
  <si>
    <t>Fuels Management Department-Wide Activities</t>
  </si>
  <si>
    <t>DOI HFR Agreements</t>
  </si>
  <si>
    <t>Project Lead: Kristy Swartz, OWF</t>
  </si>
  <si>
    <t>Budget Leads:  Stephen Elmore</t>
  </si>
  <si>
    <t>Gov Agreement:  TNC Fire Adapted Communities (FAC) Agreement</t>
  </si>
  <si>
    <t>USFS Transfer</t>
  </si>
  <si>
    <t>The Promoting Ecosystem Resilience and Fire Adapted Communities Together (PERFACT) agreement combines the previously funded FAC and PERC cooperative agreement areas into a single cooperative agreement funded via a pass-through to the USDA Forest Service and on to The Nature Conservancy that supports a portfolio of networks and strategies that bring people together to collectively identify and meet our wildfire challenges.  These include the:
1) Fire Learning Network (FLN, since 2002), fostering collaboration for restoration and fire management in landscapes across the country.
2) Prescribed Fire Training Exchanges (TREX, since 2008), providing experiential training that integrates a range of people, places, and aspects of fire.
3) Fire Adapted Communities Learning Network (FAC Net, since 2013), engaging residents and stakeholders in their communities to promote and coordinate wildfire preparedness efforts.
4) Indigenous Peoples Burning Network (IPBN, since 2016), which is accelerating fuels reduction and fire use in tribal landscapes for resiliency, fire adapted communities and cultural significance. 
These efforts support public-private place-based partnerships engaged in highly effective collaborative learning, planning, implementation, capacity-building and adaptive management, and provide opportunities to test and accelerate solutions on the ground. In the past year PERFACT has supported a Latinx engagement project in Washington state, a two-week learning exchange centered on women in fire, and capacity building through community organizing – brining people together, facilitating planning, and building connections.</t>
  </si>
  <si>
    <t>Gov Agreement:  Agreement with State Foresters to implement collaboration portal</t>
  </si>
  <si>
    <t>Providing an estimated one half of funding necessary to conduct a joint (USFS/DOI) prescribed fire review covering the last 10-15 years to gather lessons learned and common contributing factors to conversion of prescribed fires to wildfires.</t>
  </si>
  <si>
    <t>Maintain FY 2022 funding at FY 2021 funding level under CR</t>
  </si>
  <si>
    <t>Prior year Fuels funding not used; held in Parent.</t>
  </si>
  <si>
    <t>Fuels Management Agreements contribute to the goals of the National Cohesive Strategy and the DOI strategic Plan.</t>
  </si>
  <si>
    <r>
      <t xml:space="preserve">The Promoting Ecosystem Resilience and Fire Adapted Communities Together </t>
    </r>
    <r>
      <rPr>
        <b/>
        <sz val="9"/>
        <color theme="1"/>
        <rFont val="Arial"/>
        <family val="2"/>
      </rPr>
      <t xml:space="preserve">(PERFACT) </t>
    </r>
    <r>
      <rPr>
        <sz val="9"/>
        <color theme="1"/>
        <rFont val="Arial"/>
        <family val="2"/>
      </rPr>
      <t>agreement combines the previously funded FAC and PERC cooperative agreement areas into a single cooperative agreement funded via a pass-through to the USDA Forest Service and on to The Nature Conservancy that supports a portfolio of networks and strategies that bring people together to collectively identify and meet our wildfire challenges.  These include the:
1) Fire Learning Network (FLN, since 2002), fostering collaboration for restoration and fire management in landscapes across the country.
2) Prescribed Fire Training Exchanges (TREX, since 2008), providing experiential training that integrates a range of people, places, and aspects of fire.
3) Fire Adapted Communities Learning Network (FAC Net, since 2013), engaging residents and stakeholders in their communities to promote and coordinate wildfire preparedness efforts.
4) Indigenous Peoples Burning Network (IPBN, since 2016), which is accelerating fuels reduction and fire use in tribal landscapes for resiliency, fire adapted communities and cultural significance. 
These efforts support public-private place-based partnerships engaged in highly effective collaborative learning, planning, implementation, capacity-building and adaptive management, and provide opportunities to test and accelerate solutions on the ground. In the past year PERFACT has supported a Latinx engagement project in Washington state, a two-week learning exchange centered on women in fire, and capacity building through community organizing – brining people together, facilitating planning, and building connections.
Given the continued success of the program a budget increase is recommended commensurate with any increase in actual funding levels.</t>
    </r>
    <r>
      <rPr>
        <b/>
        <sz val="9"/>
        <color theme="1"/>
        <rFont val="Arial"/>
        <family val="2"/>
      </rPr>
      <t xml:space="preserve"> 
Agreement with State Foresters (USFS)
</t>
    </r>
    <r>
      <rPr>
        <sz val="9"/>
        <color theme="1"/>
        <rFont val="Arial"/>
        <family val="2"/>
      </rPr>
      <t xml:space="preserve">Provide funding to State Foresters to develop a site to input and/or share state fuels management data in a common space as well as provide a location to share federal fuels management data with state and other non-federal partners. The site would provide intelligent summaries of fuels treatments and values to provide a common understanding of work completed for all land ownerships.  Additionally, this effort would align with the Data Managment and Fuels Programs' efforts to improve data management to describe program outcomes and minimize duplication of efforts.
</t>
    </r>
    <r>
      <rPr>
        <b/>
        <sz val="9"/>
        <color theme="1"/>
        <rFont val="Arial"/>
        <family val="2"/>
      </rPr>
      <t>RX Fire Lessons Learned Study</t>
    </r>
    <r>
      <rPr>
        <sz val="9"/>
        <color theme="1"/>
        <rFont val="Arial"/>
        <family val="2"/>
      </rPr>
      <t xml:space="preserve">
To learn from our mistakes, a review and summary of common factors that lead to prescribed fires being converted to wildfires is necessary.</t>
    </r>
  </si>
  <si>
    <t>Current deliverables include assistance to communities, federal, and tribal agencies (training and on the ground accomplishment), these actions would be expanded in FY'22 to better meet the Department's Diversity, Equity and Inclusion efforts for wildland fire management.</t>
  </si>
  <si>
    <t xml:space="preserve">Not mandated by law, but supports the Healthy Forests Restoration Act of 2003 (P.L. 108-148) and the Federal Land Assistance, Management and Enhancement Act of 2009 [P.L. 111-88, title V, section 502(b)]. </t>
  </si>
  <si>
    <t>The impact of not receiving the funding increase would reduce the fuels management program's ability to partner with States, communities, and other partners and stakeholders as well as better describe program outcomes.</t>
  </si>
  <si>
    <r>
      <rPr>
        <b/>
        <sz val="9"/>
        <color theme="1"/>
        <rFont val="Arial"/>
        <family val="2"/>
      </rPr>
      <t>PERFACT</t>
    </r>
    <r>
      <rPr>
        <sz val="9"/>
        <color theme="1"/>
        <rFont val="Arial"/>
        <family val="2"/>
      </rPr>
      <t xml:space="preserve">
The request has been increased by 30% to reflect the increased capacity that could be leveraged through the PERFACT agreement with TNC given the projected 30% increase in the president's budget request for FY'22. If less is received in the final budget than the president's request then the agreement would be reduced proportional to the difference.  
</t>
    </r>
    <r>
      <rPr>
        <b/>
        <sz val="9"/>
        <color theme="1"/>
        <rFont val="Arial"/>
        <family val="2"/>
      </rPr>
      <t xml:space="preserve">Agreement with State Foresters (USFS)
</t>
    </r>
    <r>
      <rPr>
        <sz val="9"/>
        <color theme="1"/>
        <rFont val="Arial"/>
        <family val="2"/>
      </rPr>
      <t>Provide funding to State Foresters to develop a site to input and/or share state fuels management data in a common space as well as provide a location to share federal fuels management data with state and other non-federal partners. The site would provide intelligent summaries of fuels treatments and values to provide a common understanding of work completed for all land ownerships.  Additionally, this effort would align with the Data Managment and Fuels Programs' efforts to improve data management to describe program outcomes and minimize duplication of efforts.</t>
    </r>
  </si>
  <si>
    <t>SAGESTEP Monitoring</t>
  </si>
  <si>
    <t>Project Lead: IA Fuels Management Committee, Dave Mueller POC</t>
  </si>
  <si>
    <t>Agreement with USFS RMRS and USGS for continued outyear fuels treatment effectiveness monitoring</t>
  </si>
  <si>
    <t>Agreement administered by BLM WO 200.  Original investigator request was for DOI Fuels commitment of $140,000/year for FY 2018-2020; however, has requested an additional $10K for FY 2020 and an additonal $60K for FY 2021 and FY 2022.</t>
  </si>
  <si>
    <t>Maintain FY 2020 funding level</t>
  </si>
  <si>
    <t>Continued support of long term monitoring (15 years) of fuels treatment effectiveness and ecological effects after prescribed fire in Great Basin Sage Step.</t>
  </si>
  <si>
    <t xml:space="preserve">The Sagebrush Steppe Treatment Evaluation Project (SageSTEP) is a long-term multi-site, multi-disciplinary project that seeks to better understand how sagebrush steppe ecosystems respond to common land management treatments mostly associated with fuels management.  The project began in 2005, treatments were applied in 2006, 2007, and 2008, and currently an unprecedented 10 plus years of post-treatment data has been collected.  Efforts are underway to fully analyze post 10-years, report findings to the land management community and publish a collection of papers in peer-reviewed journals.  SageSTEP provides critical scientific information to the land management community, not only with regards to long term fuel and vegetation treatment effects, but also about long term vegetation and fuel bed trends in sagebrush steppe country of the Interior West.  Primary audience is federal land managers working in the Great Basin.  Scientific information from the project provides the ability to fine-tune on-the-ground decisions made by land managers faced with multiple threats to sagebrush steppe communities in the Great Basin.  </t>
  </si>
  <si>
    <t>Quarterly reports on how vegetation has responded to sage brush vegetation fuels treatments post 10 years.
Treatment response fuels photoseries                                                                                                                                                                  Web series on treatment results
Field visits to monitoring sites for land managers
All data available and easily accessed by land managers</t>
  </si>
  <si>
    <t>DOI Land Management Agencies mandates</t>
  </si>
  <si>
    <t>Reduction in number of monitoring site visits, ability to produce and distribute results</t>
  </si>
  <si>
    <t xml:space="preserve">Requested increase due to increased costs for monitoring crews, overhead costs and transportation insurance costs. </t>
  </si>
  <si>
    <t>Burned Area Rehabilitation Department-Wide Activities</t>
  </si>
  <si>
    <t xml:space="preserve">Burned Area Rehabilitation </t>
  </si>
  <si>
    <t>Project Lead: Richard Schwab, NPS</t>
  </si>
  <si>
    <t>Budget Leads:  Mark Koontz, NPS;                         Kim VanHemelryck, OWF</t>
  </si>
  <si>
    <t>Gov Labor:  BAR Coordinator</t>
  </si>
  <si>
    <t>Schwab</t>
  </si>
  <si>
    <t>NPS BAER Coordinator</t>
  </si>
  <si>
    <t>Anthony</t>
  </si>
  <si>
    <t>BLM BAER Coordinator</t>
  </si>
  <si>
    <t>Martinez</t>
  </si>
  <si>
    <t>BIA BAER Coordinator</t>
  </si>
  <si>
    <t>Ballard</t>
  </si>
  <si>
    <t>FWS BAER Coordinator</t>
  </si>
  <si>
    <t>USGS EROS</t>
  </si>
  <si>
    <t>Travel for Coordinators</t>
  </si>
  <si>
    <t>Travel for national coordinators, BAER team leadership, and National BAER team members to biannual meeting and leadership meeting.  FY 2021 Travel for National Leadership Team Members only.</t>
  </si>
  <si>
    <t>InOut Board</t>
  </si>
  <si>
    <t>InOutBoard BAER Team availability tracking</t>
  </si>
  <si>
    <t>National BAER team equipment support</t>
  </si>
  <si>
    <t>Information only:</t>
  </si>
  <si>
    <t>The principal purpose of the Burned Area Rehabilitation funding activity is to protect resources by repairing or improving landscapes unlikely to recover naturally to management approved conditions within an acceptable timeframe, and to repair or replace minor assets. (Per Interior Departmental Manual 620 DM 7).</t>
  </si>
  <si>
    <t>Requested funding will provide a safe and effective post-fire rehabilitation program in support of land, natural, and cultural resource management plans through appropriate planning and treatment implementation. The program will support the development of BAR treatments that will use the best available science to ensure success and effectiveness. The program requires that Bureaus will link all ES and BAR project plans to long-term restoration needs and programs; and identify any future activities necessary for successful projects. Successful projects will return burned lands to management approved conditions.</t>
  </si>
  <si>
    <t>Department-wide, approximately 1,077,200 acres are planned to be treated based on FY 2020 NFPORS requests.</t>
  </si>
  <si>
    <t>Departmental Manual Part 620, Chapter 7 Post-Wildfire Recovery</t>
  </si>
  <si>
    <t>Risk of long-term resource damage and degradation from wildfire. Lands will decline in productivity and value to unacceptable levels as defined and prescribed by management plan objectives and mission requirements.</t>
  </si>
  <si>
    <t>The over target scenario is not triggered by this request.</t>
  </si>
  <si>
    <t>Service-Level Agreements</t>
  </si>
  <si>
    <t>Casual Payment Center</t>
  </si>
  <si>
    <t>Project Lead: Rebecca Endicott, BLM</t>
  </si>
  <si>
    <t>Budget Lead: Molly Keating, BLM</t>
  </si>
  <si>
    <t>Current Labor calcuations for future projection and request:</t>
  </si>
  <si>
    <t>Gov Labor:  Center Mgr. GS-12, Step 4</t>
  </si>
  <si>
    <t>Rebecca Endicott</t>
  </si>
  <si>
    <t>Preparedness LF100</t>
  </si>
  <si>
    <t>($66.75/hr x 1840)+2,214* 1.01(2021 pay increase) = $126,284 (2,214 added increase for step increase)</t>
  </si>
  <si>
    <t>Gov Labor:  Asst. Center Manager GS-11, Step 3</t>
  </si>
  <si>
    <t>Kylee Payne</t>
  </si>
  <si>
    <t>($56.10/hr x 1840)+2,134*1.01(2021 pay increase) = $106,411 (2,134 added increase for step increase)</t>
  </si>
  <si>
    <t>Gov Labor:  Voucher examiner GS-9, Step 3</t>
  </si>
  <si>
    <t>James</t>
  </si>
  <si>
    <t>($42.69/hr x 1840)+1,763*1.01(2021 pay increase) = $79,335 (1,763 added for step increase</t>
  </si>
  <si>
    <t xml:space="preserve">Gov Labor:  </t>
  </si>
  <si>
    <t>Gov Agreement:  Contract: ATA Services, Inc.</t>
  </si>
  <si>
    <r>
      <t xml:space="preserve">WBS - LFSP99990000 in </t>
    </r>
    <r>
      <rPr>
        <sz val="11"/>
        <color rgb="FFFF0000"/>
        <rFont val="Calibri"/>
        <family val="2"/>
        <scheme val="minor"/>
      </rPr>
      <t>suppression</t>
    </r>
  </si>
  <si>
    <t>Gov Agreement:  AD's</t>
  </si>
  <si>
    <t>Gov Agreement: Interior Business Center (IBC)</t>
  </si>
  <si>
    <t>Gov Agreement:  Department of Defense (DoD)</t>
  </si>
  <si>
    <r>
      <t xml:space="preserve">WBS - LFSP99990000 in </t>
    </r>
    <r>
      <rPr>
        <sz val="11"/>
        <color rgb="FFFF0000"/>
        <rFont val="Calibri"/>
        <family val="2"/>
        <scheme val="minor"/>
      </rPr>
      <t>suppression</t>
    </r>
    <r>
      <rPr>
        <sz val="11"/>
        <color theme="1"/>
        <rFont val="Calibri"/>
        <family val="2"/>
        <scheme val="minor"/>
      </rPr>
      <t>; Reimbursable with DOD</t>
    </r>
  </si>
  <si>
    <t>Estimate for IAA Agreement with DoD</t>
  </si>
  <si>
    <r>
      <rPr>
        <b/>
        <sz val="11"/>
        <color theme="1"/>
        <rFont val="Calibri"/>
        <family val="2"/>
        <scheme val="minor"/>
      </rPr>
      <t>Preparedness LF100</t>
    </r>
    <r>
      <rPr>
        <sz val="11"/>
        <color theme="1"/>
        <rFont val="Calibri"/>
        <family val="2"/>
        <scheme val="minor"/>
      </rPr>
      <t xml:space="preserve"> (3 GS Employees Training + FPPS User Group)</t>
    </r>
  </si>
  <si>
    <t>Fischer Tech</t>
  </si>
  <si>
    <r>
      <rPr>
        <b/>
        <sz val="11"/>
        <color theme="1"/>
        <rFont val="Calibri"/>
        <family val="2"/>
        <scheme val="minor"/>
      </rPr>
      <t>Preparedness LF100</t>
    </r>
    <r>
      <rPr>
        <sz val="11"/>
        <color theme="1"/>
        <rFont val="Calibri"/>
        <family val="2"/>
        <scheme val="minor"/>
      </rPr>
      <t>: Fischer Tech; Core PC/Allied Solutions</t>
    </r>
  </si>
  <si>
    <t>New printer will be purchased with service agreement</t>
  </si>
  <si>
    <t xml:space="preserve">Preparedness LF100: </t>
  </si>
  <si>
    <t>Lektriever Service</t>
  </si>
  <si>
    <r>
      <rPr>
        <b/>
        <sz val="11"/>
        <color theme="1"/>
        <rFont val="Calibri"/>
        <family val="2"/>
        <scheme val="minor"/>
      </rPr>
      <t>Preparedness LF100:</t>
    </r>
    <r>
      <rPr>
        <sz val="11"/>
        <color theme="1"/>
        <rFont val="Calibri"/>
        <family val="2"/>
        <scheme val="minor"/>
      </rPr>
      <t xml:space="preserve"> Lektriever Service; printers/copiers not covered by service contracts</t>
    </r>
  </si>
  <si>
    <r>
      <rPr>
        <b/>
        <sz val="11"/>
        <color theme="1"/>
        <rFont val="Calibri"/>
        <family val="2"/>
        <scheme val="minor"/>
      </rPr>
      <t>Preparedness LF100:</t>
    </r>
    <r>
      <rPr>
        <sz val="11"/>
        <color theme="1"/>
        <rFont val="Calibri"/>
        <family val="2"/>
        <scheme val="minor"/>
      </rPr>
      <t xml:space="preserve"> Computer Refresh</t>
    </r>
  </si>
  <si>
    <t>Replacing 7 computers per J Jaquez 12/19/19</t>
  </si>
  <si>
    <t>Carryover identified to defray project cost</t>
  </si>
  <si>
    <t>Method of Split</t>
  </si>
  <si>
    <t>Planned Cost</t>
  </si>
  <si>
    <t>Cost Split (DOI only)</t>
  </si>
  <si>
    <t>Agency share of budget</t>
  </si>
  <si>
    <t>Net to Bureaus (allocation less cost)</t>
  </si>
  <si>
    <t>FY 2022 Preliminary Split</t>
  </si>
  <si>
    <t>Need to update number of payments processed (2016-2020).</t>
  </si>
  <si>
    <t>1) Provides prompt payments to DOI agency emergency hires (casuals) under AD Pay Plan (BLM, BIA, NPS, and FWS).                             2) Processes hiring documents for casual hires                                                                                                                                                           3) Facilitates notification of eligibility for Federal Health Care Benefits and  processes plan selection within the Federal Personnel       Payroll System                                                                                                                                                                                                                       4) Provides analyses reports to Agencies and Hiring Units                                                                                                                                         5) Provides employment verifications and summaries for casual hires                                                                                                                    6) Provides training and materials for agency use</t>
  </si>
  <si>
    <t>DOI Xasual Payment Center</t>
  </si>
  <si>
    <t>1) Provides prompt payments to Department of Defense emergency hires (casuals) under AD Pay Plan (DoD)                                            2) Reconciles NERV Payments for DOI Agencies (BLM and FWS)</t>
  </si>
  <si>
    <t>Service Level Agreements between Bureau of Land Management, Fish &amp; Wildlife, Bureau of Indian Affairs, National Park Service.</t>
  </si>
  <si>
    <t xml:space="preserve">If the FY2022 request is funded at the 2021 Presidents Budget level, (FY21PB:$1,423,530; a decrease of $7,056 from 2022 requested level), a portion of the decrease could be absorbed by budget efficiencies, and could have a minor effect on capacity to complete workload, etc.  If the FY2022 funding level is 5% less than the request amount (FY22:$1,359,057; a decrease of $71,529 from 2022 requested level) the program change of $71,529 would effect shared services, capacity to complete workload and cover all personnel and operational related expenses.  Some budget efficiencies within the operational budget could be used to make up a portion of the decrease, but it would be extremely difficult to absorb the entire 5% from the current level of funding, given the rising inflation costs associated with labor and personnel charges. </t>
  </si>
  <si>
    <t>DOI FIRES</t>
  </si>
  <si>
    <t>Project Lead:  Marilyn Richardson</t>
  </si>
  <si>
    <t>Budget Lead: Joe Majewski</t>
  </si>
  <si>
    <t>HR Specialist/Program Manager, GS-12/6</t>
  </si>
  <si>
    <t>Marilyn Richardson</t>
  </si>
  <si>
    <t>HR Specialist, GS-11/10  (80% DOI FIRES)
(Shared position with FA220 - NIFC HR)</t>
  </si>
  <si>
    <t xml:space="preserve">Yesenia Ramirez-Gil </t>
  </si>
  <si>
    <t>Increased from 75% to 80%</t>
  </si>
  <si>
    <r>
      <t xml:space="preserve">HR Specialist, GS-11/5  </t>
    </r>
    <r>
      <rPr>
        <sz val="10"/>
        <color rgb="FFFF0000"/>
        <rFont val="Arial"/>
        <family val="2"/>
      </rPr>
      <t>(Pending Approval for Upgrade from GS-9)</t>
    </r>
  </si>
  <si>
    <t>Vacant</t>
  </si>
  <si>
    <t>HR Specialist, GS-9/5</t>
  </si>
  <si>
    <t>Lead Range Tech/HR Assistant GS-09/7
(50% DOI FIRES)  (Shared with FA-340 NICC)</t>
  </si>
  <si>
    <t>Charlie Loewen</t>
  </si>
  <si>
    <t>HR Assistant GS-09/5
(50% DOI FIRES)  (Shared with FA-340 NICC)</t>
  </si>
  <si>
    <t>HR Assistant, GS-07/1</t>
  </si>
  <si>
    <t>Colleen Finley</t>
  </si>
  <si>
    <t>HR Assistant, GS 07/4</t>
  </si>
  <si>
    <t>Joyelyn Sommer</t>
  </si>
  <si>
    <r>
      <t xml:space="preserve">HR Assistant GS-7/5 </t>
    </r>
    <r>
      <rPr>
        <sz val="10"/>
        <color rgb="FFFF0000"/>
        <rFont val="Arial"/>
        <family val="2"/>
      </rPr>
      <t>(Pending Approval)</t>
    </r>
  </si>
  <si>
    <t>New</t>
  </si>
  <si>
    <t xml:space="preserve">Detailers </t>
  </si>
  <si>
    <t>Misc</t>
  </si>
  <si>
    <t xml:space="preserve">Extend C/S, SMKJ etc. </t>
  </si>
  <si>
    <t>Estimated Overtime (Peak Period of Work)</t>
  </si>
  <si>
    <t>Employees</t>
  </si>
  <si>
    <t>Travel/Per Diem for Detailers</t>
  </si>
  <si>
    <t>Other Non-Federal Contractual Services--MSG Hiring Mgmt</t>
  </si>
  <si>
    <t>Mandatory DE train/recert</t>
  </si>
  <si>
    <t>**NOTE: new percentages for FY2020</t>
  </si>
  <si>
    <t>FY2022</t>
  </si>
  <si>
    <t>FY2021</t>
  </si>
  <si>
    <t>FY 2022 Allocation</t>
  </si>
  <si>
    <t xml:space="preserve">   Total</t>
  </si>
  <si>
    <t>FY 2021 Allocation</t>
  </si>
  <si>
    <t>Without carryover to defer</t>
  </si>
  <si>
    <t>FY 2021 C/O Reduction</t>
  </si>
  <si>
    <t xml:space="preserve">   $xxx C/O from Preparedness/Fuels funding</t>
  </si>
  <si>
    <t>Provides consistent, reliable and timely recruitment services for Temporary Fire positions with BLM, NPS and USFWS.</t>
  </si>
  <si>
    <t>The FIRES Program Office provides consistent reliable centralized recruitment services for BLM, NPS and USFWS. On average the FIRES Program Office issues just under 200 vacancy announcements and in excess of 1000 certificates each year under the Delegated Exam Authority. In addition, the DOI FIRES Program Office has excellent service by responding to applicants, HR Contacts and Selecting Officials by email and phone.</t>
  </si>
  <si>
    <t>The FIRES Program Office has a additional personnel dollars due to step increases of staff.</t>
  </si>
  <si>
    <t>BLM policy requires the use of FIRES for Recruitment of Temporary Fire positions.  NPS and USFWS use of FIRES is voluntary; however most locations are using the program to recruit Temporary Fire positions.</t>
  </si>
  <si>
    <t>Temporary Fire Recruitment Services would affected; therefore the hiring of temporary fire positions to protect life, property and safety of public lands.</t>
  </si>
  <si>
    <t>Preparedness Service-Level Agreements</t>
  </si>
  <si>
    <t>Medical Standards Exams</t>
  </si>
  <si>
    <t>Project Lead:  Kaili McCray/OWF</t>
  </si>
  <si>
    <t>Budget Leads:  Bret Amick</t>
  </si>
  <si>
    <r>
      <t xml:space="preserve">Other Non-Federal Contractual Services:Exam contract </t>
    </r>
    <r>
      <rPr>
        <sz val="10"/>
        <color rgb="FFFF0000"/>
        <rFont val="Arial"/>
        <family val="2"/>
      </rPr>
      <t>Suppression</t>
    </r>
  </si>
  <si>
    <r>
      <rPr>
        <sz val="11"/>
        <color rgb="FFFF0000"/>
        <rFont val="Calibri"/>
        <family val="2"/>
        <scheme val="minor"/>
      </rPr>
      <t xml:space="preserve">Suppression </t>
    </r>
    <r>
      <rPr>
        <sz val="11"/>
        <color theme="1"/>
        <rFont val="Calibri"/>
        <family val="2"/>
        <scheme val="minor"/>
      </rPr>
      <t>AD Exams + Mobile Health Events</t>
    </r>
  </si>
  <si>
    <t>Other Non-Federal Contractual Services - Preparedness</t>
  </si>
  <si>
    <t>Actual bureau obligations will be tracked and agency contributions adjusted accordingly.  WLFF Exams.</t>
  </si>
  <si>
    <t>Carryover from FY 2021 held in Parent account.  Transfer carryover to BLM with CR2 funding.</t>
  </si>
  <si>
    <t>Preparedness $$ only</t>
  </si>
  <si>
    <t>Cost Increase (Decrease)</t>
  </si>
  <si>
    <t>Preparedness Funding</t>
  </si>
  <si>
    <t>$ Change</t>
  </si>
  <si>
    <t>Suppression Funding</t>
  </si>
  <si>
    <t>Preparedness Funding by Bureau:</t>
  </si>
  <si>
    <t>FY 2022 Est</t>
  </si>
  <si>
    <t>$ Increase/(decrease)</t>
  </si>
  <si>
    <t>% Increase/(decrease)</t>
  </si>
  <si>
    <t>Ensure arduous duty wildland firefighters are medically qualified, in accordance with 5CFR 339 Medical Qualifications Determinations, to perform duties safely in any environment at all times without hazard to themselves or others.</t>
  </si>
  <si>
    <t>Contract services providing medical qualification exams and determinations for DOI Wildland Fire Bureaus.  Anticipated task order issue is July 2022. This request funds exams through July 2023.</t>
  </si>
  <si>
    <t xml:space="preserve">The FY 2022 budget request is a reduction from FY 2021 removing the additional exams conducted in FY 2021 due to COVID-19 impacts and costs of new contract initiation. FY 2022 deliverables include average annual baseline and periodic exams and slightly above average number of on-site exam events.   </t>
  </si>
  <si>
    <t xml:space="preserve">Contract is firm-fixed price. Cost is pay-per-use based on number of exams requested. Reduction in funding level could limit availability of exams and therefore limit number of medically qualified firefighters.  </t>
  </si>
  <si>
    <t>Misc and One-Time Agreements</t>
  </si>
  <si>
    <t>Project Lead:  Molly Keating, BLM</t>
  </si>
  <si>
    <t>Budget Lead:  Molly Keating, BLM</t>
  </si>
  <si>
    <t>Gov Labor:  HR Services for NPS, BIA, FWS</t>
  </si>
  <si>
    <t>Funds from BIA, NPS and FWS</t>
  </si>
  <si>
    <t>Gov Labor:  Shared External Affairs Assistant (NPS share)</t>
  </si>
  <si>
    <t>Funds from NPS</t>
  </si>
  <si>
    <t>Gov Labor:  Fire Equipment Production Manager</t>
  </si>
  <si>
    <t>D. Yturriondobeitia</t>
  </si>
  <si>
    <t>Gov Agreement:  Purpose/Description (GaBriella Branson)</t>
  </si>
  <si>
    <t>BLM via St. of AK</t>
  </si>
  <si>
    <t>Funds from OWF for St. of AK employee GaBriella Branson.</t>
  </si>
  <si>
    <t>FCG IAA</t>
  </si>
  <si>
    <t>FCG IAA in support of Workforce Transformation initiated for FY 2022</t>
  </si>
  <si>
    <t>Gov Agreement:  Purpose/Description   (NERV $ to FS)</t>
  </si>
  <si>
    <t>DOI to FS</t>
  </si>
  <si>
    <t>MOU funding transfer to FS for NERV $</t>
  </si>
  <si>
    <t>Fleet Usage (OWF usage of BLM fleet and other misc.)</t>
  </si>
  <si>
    <t>Funds from OWF</t>
  </si>
  <si>
    <t>Cost Split (DOI only) - PREPAREDNESS</t>
  </si>
  <si>
    <t>Agency share of cost (FCG IAA)</t>
  </si>
  <si>
    <t>Based on Workforce Transformation funding allocation</t>
  </si>
  <si>
    <t>Agency share of cost (HR)</t>
  </si>
  <si>
    <t>Agency share of cost (ExAffairs)</t>
  </si>
  <si>
    <t>Agency share of cost (Fleet usage)</t>
  </si>
  <si>
    <t>Agency share of cost (Equp Prod Mgr)</t>
  </si>
  <si>
    <t>Agency share of cost (NWCG Data Committee work - ie: GaBriella Branson)</t>
  </si>
  <si>
    <t>Agency Share of cost</t>
  </si>
  <si>
    <t>Agency share of cost (NERV $ to FS)</t>
  </si>
  <si>
    <t xml:space="preserve">Agency share of cost </t>
  </si>
  <si>
    <t>Total Agency Preparedness share</t>
  </si>
  <si>
    <t xml:space="preserve">Misc. and one time SLA funding for BLM to assist and provide services to other agencies. </t>
  </si>
  <si>
    <t xml:space="preserve">Funding is for SLAs to support personnel who are responisble for completing workload on behalf of other DOI agencies, such as HR, External Affairs, Equipment manager tasks and State of AK FTE. The project funding also supports the Agreement/MOU transfer of money to the Forest Service for the NERV program as well as misc. usage of equipment by OWF. </t>
  </si>
  <si>
    <t>BLM personnel will complete workload on behalf of other DOI agencies to benefit HR workload, External Affairs support and Equipment managment. The project funding also supports the Agreement/MOU transfer of money to the Forest Service for the NWCG NERV program.</t>
  </si>
  <si>
    <t>N/A</t>
  </si>
  <si>
    <t xml:space="preserve">If the FY2022 request is funded at the 2021 President's Budget level (FY21PB:$442,000; a decrease of $12,000 from requested level) the program change of $12,000 could likely be absorbed by budget efficiences, and the work would likely continue with no negative effect.  If the FY2022 funding level is 5% less than the request amount (FY22:$431,000; a decrease of $23,000 from requested level) the program change of $23,000 could effect some of the shared services agreements and capacity to complete workload, as well as OWF access to BLM fleet.  Some budget efficiences would be used to make up a portion of the decrease, but it would be difficult to absorb the entire 5% from the current level of funding, given the rising enflation costs associated with labor and personnel charges. </t>
  </si>
  <si>
    <t>Fuels Service-Level Agreements</t>
  </si>
  <si>
    <t>Project Lead: Stephen Elmore, OWF</t>
  </si>
  <si>
    <t>Gov Agreement:  BIA funding to FS via OWF</t>
  </si>
  <si>
    <t>Prescribed Fire Training Center funding for FY 2021 and FY 2022</t>
  </si>
  <si>
    <t>Gov Agreement:  Purpose/Description (Smoke Monitoring)</t>
  </si>
  <si>
    <t>Smoke Monitor Agreement (USFS)
Smoke management and air quality monitoring of prescribed fires is becoming more important as awareness of smoke impacts increase.  Many DOI offices are being asked to monitor prescribed fire smoke by their state air quality regulators but do not own monitors or have the expertise to maintain them. The USDA Forest Service has smoke monitors in the Rocky Mountain Area Support Fire Cache (RMK) in Colorado and is willing to enter into an agreement with DOI to provide these monitors for prescribed fire operations. Currently DOI Bureaus are monitoring some prescribed fires with these cache monitors but only when DOI Bureau/USFS Service First organizations or another local agreement is in place to implement an interagency prescribed fire.  Monitors are already used for wildfires by Air Resource Advisors and are paid for consistent with the provisions of the master agreement. 
It costs approximately $5,000 per fire to use a monitor, which covers shipping to and from the incident, maintenance, and support.  Each Bureau could buy their own monitors, contract to rehab them and train staff to manage their use and the data received, however the BLM tested that approach and found that maintenance and support costs made it difficult and expensive to maintain a cache of smoke monitoring equipment at NIFC.</t>
  </si>
  <si>
    <t xml:space="preserve">Fleet Usage </t>
  </si>
  <si>
    <t>Cost Split (DOI only) - FUELS</t>
  </si>
  <si>
    <t>Agency share of cost (PFTC)</t>
  </si>
  <si>
    <t>Agency share of cost (Smoke Monitoring)</t>
  </si>
  <si>
    <t>Agency share of cost</t>
  </si>
  <si>
    <t>Total Agency Fuels Management share</t>
  </si>
  <si>
    <t>NIFC Site and Admin Costs</t>
  </si>
  <si>
    <t>Funding from FWS, NPS, BIA *updated 2020 space/sq footage update</t>
  </si>
  <si>
    <t>NIFC.gov</t>
  </si>
  <si>
    <t>NIFC Website contract O&amp;M support</t>
  </si>
  <si>
    <t>Same Split as 2019</t>
  </si>
  <si>
    <t>FY 2021 % of $504K</t>
  </si>
  <si>
    <t>Updated Amount</t>
  </si>
  <si>
    <t xml:space="preserve">National Interagency Fire Center Space Management </t>
  </si>
  <si>
    <t>The National Interangency Fire Center (NIFC) campus is located in Boise Idaho adjacent to the Boise Airport. NIFC is comprised of 55 acres of area which contains areas for refurbishment of fire fighting equipment, aircraft ramp operations, aircraft retardant tanker operations, as well as administrative functions serving the wildland fire mission. The campus is owned and managed by the Bureau of Land Management (BLM) and operates through governance by representatives from each agency on the campus (NPS, FWS, BIA, FS and NWS) and follows space management standards of the Department of Interior and BLM rules and guidelines on sustainable management of facilities to include not only routine operations as well as improvements to the campus facilities. This includes annual Maintenance of grounds and faciliites, upkeep, preventative maintenance and improvements of HVAC, plumbing, etc and and adminsiter remodel, upgrades and disposals.</t>
  </si>
  <si>
    <t>Continued management and complteion of improvements and annual and preventative maintenance to ensure compliance with the Department of the Interior (DOI) space standards and life-safety codes, with a goal to efficiently meet the operational requirements of the resident agencies. </t>
  </si>
  <si>
    <t>DOI space management standards and life-safety codes; OSHA safety standers; builiding codes</t>
  </si>
  <si>
    <t>If funding request is is at a 2021 straight line level, the BLM maintenance program would have the ability to complete minimum required operations, maintenance and improvements of the NIFC campus.  If the budget is 5% below request, BLM would possibly covered expected shortfall with vaious internal budget efficiencies.</t>
  </si>
  <si>
    <t>NWCG Program Management Unit</t>
  </si>
  <si>
    <t>Project Lead: Katie Woods/Deb Fleming</t>
  </si>
  <si>
    <t xml:space="preserve">Budget Lead:  </t>
  </si>
  <si>
    <t>Gov Labor:  NWCG Program Manager GS-14/5</t>
  </si>
  <si>
    <t>Woods</t>
  </si>
  <si>
    <t>Gov Labor:  Coordinator GS-13/2</t>
  </si>
  <si>
    <t>O'Hara</t>
  </si>
  <si>
    <t>Gov Labor:  Coordinator GS-13/8</t>
  </si>
  <si>
    <t>Blake</t>
  </si>
  <si>
    <t>Gov Labor:  Coordinator GS-13/10</t>
  </si>
  <si>
    <t>Fleming</t>
  </si>
  <si>
    <t>Gov Labor:  Web Manager GS-12/10</t>
  </si>
  <si>
    <t>Turner</t>
  </si>
  <si>
    <t>Gov Labor:  Supv Publications Manager GS-12/4</t>
  </si>
  <si>
    <t>Bender</t>
  </si>
  <si>
    <t>Gov Labor:  Admin Assistant GS-9/5</t>
  </si>
  <si>
    <t>vice Lindsay-Shultz</t>
  </si>
  <si>
    <t>FS funding thru personnel svc contract</t>
  </si>
  <si>
    <t>Gov Labor:  Training Program Manager GS-13/7</t>
  </si>
  <si>
    <t>Hughes</t>
  </si>
  <si>
    <t>Gov Labor:  Supv Training Specialist GS-12/2</t>
  </si>
  <si>
    <t>Benoit</t>
  </si>
  <si>
    <t>Gov Labor:  Supv Training Specialist GS-12/10</t>
  </si>
  <si>
    <t>Welch</t>
  </si>
  <si>
    <t>Gov Labor:  Supv Instructional Syst Spec GS-12/9</t>
  </si>
  <si>
    <t>Cantrell</t>
  </si>
  <si>
    <t>Gov Labor:  Admin Assistant GS-8/10</t>
  </si>
  <si>
    <t>Bates</t>
  </si>
  <si>
    <t>Gov Labor:  Instructional Syst Spec GS-11/5</t>
  </si>
  <si>
    <t>Gov Labor:  Instructional Syst Spec GS-11/4</t>
  </si>
  <si>
    <t>Glaeser</t>
  </si>
  <si>
    <t>Gov Labor:  Training Spec GS-11/4</t>
  </si>
  <si>
    <t>Hambrick</t>
  </si>
  <si>
    <t>Burkhammer</t>
  </si>
  <si>
    <t>Jackson</t>
  </si>
  <si>
    <t>Gov Labor:  Training Spec GS-11/5</t>
  </si>
  <si>
    <t>Black</t>
  </si>
  <si>
    <t>Gov Labor:  Training Spec GS-11/5 (shared w/ NICC)</t>
  </si>
  <si>
    <t>Oke</t>
  </si>
  <si>
    <t>Adjusted split to 50% (was 40/60)</t>
  </si>
  <si>
    <t>Gov Labor:  AV Production Spec GS-11/1</t>
  </si>
  <si>
    <t>Gaskill</t>
  </si>
  <si>
    <t>Gov Labor:  Illustrator GS-11/8</t>
  </si>
  <si>
    <t>Navarro</t>
  </si>
  <si>
    <t>Gov Labor:  AV Production Spec GS-11/5</t>
  </si>
  <si>
    <t>Gov Labor:  Forestry Tech 11/5</t>
  </si>
  <si>
    <t>Touchette</t>
  </si>
  <si>
    <t>Gov Labor:  Writer/Editor GS-9/10</t>
  </si>
  <si>
    <t>Forrest-Davis</t>
  </si>
  <si>
    <t>Shaffer</t>
  </si>
  <si>
    <t>$2k of BLM is $ from BIA to support writer/editor</t>
  </si>
  <si>
    <t>BLM pays for NPS cell phone</t>
  </si>
  <si>
    <t>multiple</t>
  </si>
  <si>
    <t>$1k of BLM is $ from BIA to support writer/editor</t>
  </si>
  <si>
    <t>DOI Share</t>
  </si>
  <si>
    <t xml:space="preserve">Cost Split </t>
  </si>
  <si>
    <t xml:space="preserve">Project Objectives
</t>
  </si>
  <si>
    <t>Provide professional, technical, and administrative assistance and capability to the NWCG Executive Board and the NWCG program in the accomplishment of the NWCG Mission: 
The National Wildfire Coordinating Group provides national leadership to enable interoperable wildland fire operations among federal, state, local, tribal, and territorial partners. Primary objectives include:
• Establish national interagency wildland fire operations standards. Recognize that the decision to adopt standards is made independently by the NWCG members and communicated through their respective directives systems.
• Establish wildland fire position standards, qualifications requirements, and performance support capabilities (e.g. training courses, job aids) that enable implementation of NWCG standards.
• Support the National Cohesive Wildland Fire Management Strategy goals: to restore and maintain resilient landscapes; create fire adapted communities; and respond to wildfires safely and effectively.
• Establish information technology (IT) capability requirements for wildland fire.
• Ensure that all NWCG activities contribute to safe, effective, and coordinated national interagency wildland fire operations.</t>
  </si>
  <si>
    <t>The NWCG staff serves and reports to the NWCG Executive Board. The staff provides national leadership and direction to accomplish the NWCG mission. The primary NWCG mission is to provide national leadership to enable interoperable wildland fire operations among federal, state, local, tribal, and territorial partners. The NWCG staff’s work is primarily achieved by supporting the operations of the 14 NWCG committees and their 60 plus subgroups – the backbone of the NWCG effort.  The NWCG committees and subgroups are comprised of national leaders and subject-matter experts representing the NWCG member agencies and the various functional areas of wildland fire management. 
The NWCG staff is comprised of the program management staff and the training development staff. The program management staff provides leadership and support to the overall NWCG mission. The training development staff provides leadership and management of a comprehensive NWCG training curriculum that includes high quality, relevant wildland fire training that supports NWCG standards, position qualification attainment, position performance, annual fire safety training, and other training needs of the national wildland fire community.</t>
  </si>
  <si>
    <t>• National wildland fire operations standards for use by the NWCG members and the wildland fire community. Standards are intended for universal adoption and minimal agency-specific variation but with recognition of the autonomy of the individual member agencies.
• Position management in support of national mobilization under NIMS-ICS framework. This includes position descriptions, qualification requirements, and training and performance support capabilities. 
• Comprehensive training curriculum that includes high quality, relevant wildland fire training that supports NWCG standards, position qualification attainment, position performance, annual fire safety training, and other training needs of the national wildland fire community.
• Direction and support to NWCG committees and subgroups.
• Assistance to cooperating entities such as the Geographic Area Training Representatives and the National Advanced Fire and Resource Institute to maximize effectiveness and efficiency in all areas of wildland firefighter training.</t>
  </si>
  <si>
    <t>NWCG charter signed 11/14/2013; Shared Funding Interagency Agreement signed 5/23/2016 (currently under revision)</t>
  </si>
  <si>
    <t>Funding represents staffing costs for all current positions identified under NWCG on FS and DOI TOs. A change in funding would reduce capability to accomplish the NWCG mission, which enables nationally interoperable wildland fire operations among federal, state, local, tribal, and territorial partners, and is critical to nationally coordinated wildland fire management in the United States.</t>
  </si>
  <si>
    <t>NWCG Committees &amp; Projects</t>
  </si>
  <si>
    <t>Gov Agreement:  NFA (LMS)</t>
  </si>
  <si>
    <t>Wildland Fire Learning Portal (LMS)</t>
  </si>
  <si>
    <r>
      <t xml:space="preserve">Agreement with NFA for hosting of online training.  Funding to OWF ($10K) for initial FY 2018 services provided for LMS proof of concept contract.  $90K in FY 2019 for O&amp;M of LMS proof of concept contract.  FY 2020, hosting and maintenance of the Totara develpment (sandbox) and production instances for up to 49,999 active users.  </t>
    </r>
    <r>
      <rPr>
        <sz val="11"/>
        <color rgb="FFFF0000"/>
        <rFont val="Calibri"/>
        <family val="2"/>
        <scheme val="minor"/>
      </rPr>
      <t>Hosting and maintenance of the Totara LMS; working with WFIT on how this will be funded in the future; Steve Manthei asked us to maintain this placeholder.</t>
    </r>
    <r>
      <rPr>
        <sz val="11"/>
        <color theme="1"/>
        <rFont val="Calibri"/>
        <family val="2"/>
        <scheme val="minor"/>
      </rPr>
      <t xml:space="preserve">  Add $129K for additional FS funding in support of LMS per Rick G 11/19/21</t>
    </r>
  </si>
  <si>
    <t>Gov Agreement: Fire Env Committee</t>
  </si>
  <si>
    <t>Gov Agreement: Ops &amp; Trng Committee</t>
  </si>
  <si>
    <t>Gov Agreement: NWCG Staff Projects</t>
  </si>
  <si>
    <t>State Travel for Committee Work</t>
  </si>
  <si>
    <t>State travel paid by FS thru agreement with NASF.</t>
  </si>
  <si>
    <t>ITOSS</t>
  </si>
  <si>
    <t>Help Desk Contract - NWCG LMS &amp; LCMS Support</t>
  </si>
  <si>
    <t>Final FY22 NWCG budget will not be approved until April 2021. This estimate is reflective of the FY21 requests and will be adjusted as decisions are made.</t>
  </si>
  <si>
    <t>LCMS</t>
  </si>
  <si>
    <t>O&amp;M support for IBM/Kenexa LCMS</t>
  </si>
  <si>
    <t>Hardware lifecycle replacement for hosting IBM/Kenexa LCMS</t>
  </si>
  <si>
    <t>Percentages are correct, but amounts will change based on who is determined to be the funding lead on each NWCG project.</t>
  </si>
  <si>
    <t>FS Direct Bill on MOU with OWF</t>
  </si>
  <si>
    <t>FS transfer required</t>
  </si>
  <si>
    <t xml:space="preserve">Provide support for annual NWCG committee projects and O&amp;M commitments. This request is an mirror of the FY2021 project request. NWCG Executive Board approves the next years budget in April of the prior year. </t>
  </si>
  <si>
    <t>Annual O&amp;M commitments and NWCG committee project requests are reviewed and approved/denied by the NWCG Executive Board each year. The budget staffs for the five federal agency members assist with this process. Not all approved projects are funded due to budget limitations. The actual amount will depend on what the five federal agencies support for FY 2022. Once the funding requests are approved/denied a determination will be made as to which agency funds which project.</t>
  </si>
  <si>
    <t>This request is an estimate based on FY2020 project requests. NWCG Executive Board is discussing and will determine if an increase in funding is supported by all agencies. Eliminating project funding would impact current and future interagency work, as well as future functionality for the wildland fire community.</t>
  </si>
  <si>
    <t>RSFWSU (RAWS)  FWS &amp; NPS</t>
  </si>
  <si>
    <t>Project Lead: Robert Swofford</t>
  </si>
  <si>
    <t>Annual SLA</t>
  </si>
  <si>
    <t>RSFWSU maintains 314 full ride and modified field contracts for BLM, FWS, and USDA Remote Automatic Weather Stations (RAWS).  Provide cabliration, repair, and support for 1,789 BLM, FWS, NPS, USDA, DOD, BIA, and S&amp;PF RAWS.</t>
  </si>
  <si>
    <t xml:space="preserve">Service and support RAWS according to the interagency agreements and the Interagency Wildland Fire Weather Stations Standards &amp; Guidelines (PMS 426-3).  The accomplishment of this mission helps provide accurate and reliable environmental data for wildland fire preparedness and suppression operations, and contributes to fire fighter safety and the protection of life and property.  The RSFWSU also services and supports other special use weather and evnironmental monitoring equipment that contributes to wildland fire management, resources permitting, according to written agrements.  </t>
  </si>
  <si>
    <t>RSFWSU will employ 2 new seasonal employees for field maintenance in FY2020.  Increase in budget request is related to the increasing costs of travel, sensors replacement, parts used to repair and calibrate sensors, test equipment calibration and lifecycle management, vehical repair and lifecycle managment.</t>
  </si>
  <si>
    <t>Interagency Wildland Fire Weather Station Standards &amp; Guidelines PMS 426-3</t>
  </si>
  <si>
    <t>Briefly explain what tradeoffs would be made if funding level is not received at the requested level. At minimum, present options at FY 2022 straight-line and 5% reduction level from request.</t>
  </si>
  <si>
    <t>If funding was not made available as requested, RAWS used for wildland fire would not be properly maintained.  This would cause serious gaps in fire weather reporting which would result in greater probability of loss of life and property to the fire community and public.</t>
  </si>
  <si>
    <t>FireNET</t>
  </si>
  <si>
    <t>Project Lead:  Chris Buzo, OWF</t>
  </si>
  <si>
    <t xml:space="preserve">Business Lead: </t>
  </si>
  <si>
    <t>Gov Agreement:  OCIO BPA Purchase</t>
  </si>
  <si>
    <t>OCIO Agreement</t>
  </si>
  <si>
    <t>SaaS Licenses in support of PowerApps for Business Intelligence within the FireNet Azure environment as requested by USFS to support PowerApps work.</t>
  </si>
  <si>
    <t>SaaS License Commitment for Azure Environment where FirNet is situated and certificate licensing for Website</t>
  </si>
  <si>
    <t xml:space="preserve"> </t>
  </si>
  <si>
    <t xml:space="preserve">Contract </t>
  </si>
  <si>
    <t xml:space="preserve">Review of licenses with contracting and acquisition for FY21 resulting in better understanding of license costs.  Initially purchased 4,500 licenses for the  stand up of the environment were at a set cost; additional licenses added after that are at a higher per user cost.  Adjustment further aligns the initial license purchase to bureau top-level funded, with additional licenses for the environment purchased through suppression funding, in line with fire positions   </t>
  </si>
  <si>
    <t>WILDLAND FIRE FIVE YEAR CONSTRUCTION/DEFERRED MAINTENANCE PLAN SUMMARY</t>
  </si>
  <si>
    <t>2022-2026</t>
  </si>
  <si>
    <t>PROJECT DESCRIPTION</t>
  </si>
  <si>
    <t>STATE</t>
  </si>
  <si>
    <t>BUREAU</t>
  </si>
  <si>
    <t>DOI SCORE</t>
  </si>
  <si>
    <t>COSTS</t>
  </si>
  <si>
    <t>DOI RANK</t>
  </si>
  <si>
    <t>2022 Projects</t>
  </si>
  <si>
    <t>New Salem Maintenance and Fire Shop Replacement</t>
  </si>
  <si>
    <t>TX</t>
  </si>
  <si>
    <t>Crow Helitack Replacement</t>
  </si>
  <si>
    <t>MT</t>
  </si>
  <si>
    <t>Ontario Aviation Base Replacement</t>
  </si>
  <si>
    <t>OR</t>
  </si>
  <si>
    <t>San Carlos Fire Station Replacement (Phase 1 of 2)</t>
  </si>
  <si>
    <t>AZ</t>
  </si>
  <si>
    <t>Warm Springs Warehouse Dispatch Replacement</t>
  </si>
  <si>
    <t>Highway 16 Fire Station Replacement</t>
  </si>
  <si>
    <t>ID</t>
  </si>
  <si>
    <t>Sand Creek Fire Bunkhouse Replacement (Phase 2 of 2)</t>
  </si>
  <si>
    <t>Boise District Air Operations Center at National Interagency Fire Center (Phase 1 of 2)</t>
  </si>
  <si>
    <t>Big Cypress Fire Station Replacement (Phase 1 of 2)</t>
  </si>
  <si>
    <t>FL</t>
  </si>
  <si>
    <t xml:space="preserve">              |--</t>
  </si>
  <si>
    <t>Architectural and Engineering Design</t>
  </si>
  <si>
    <t>DOI</t>
  </si>
  <si>
    <t>------------|</t>
  </si>
  <si>
    <t>TOTAL 2022</t>
  </si>
  <si>
    <t xml:space="preserve">              |</t>
  </si>
  <si>
    <t>Project Funding</t>
  </si>
  <si>
    <t>A&amp;E Design</t>
  </si>
  <si>
    <t>Rounded</t>
  </si>
  <si>
    <t>Fuels Department-Wide Activities</t>
  </si>
  <si>
    <t>Activity Name: Active Lands Management and Shared Stewardship Solution Proof of Concept Scope of Work</t>
  </si>
  <si>
    <t>Project Lead: Chris Buzo - OWF</t>
  </si>
  <si>
    <t>Additional Funding TBD.  No estimates for FY 2022 available at this time</t>
  </si>
  <si>
    <t>Justification/Comment</t>
  </si>
  <si>
    <t>Contract: Training</t>
  </si>
  <si>
    <t>Contract: Cadastral Data</t>
  </si>
  <si>
    <t>Contract: Development/Modernazation/Enhancements (DME)</t>
  </si>
  <si>
    <t>Other Contract</t>
  </si>
  <si>
    <t>Briefly describe FY 2022 deliverables and any budget or implementation changes from FY 2020.</t>
  </si>
  <si>
    <t>AGOL &amp; Collector</t>
  </si>
  <si>
    <t>Project Lead:   Erik Torres-Jacquez</t>
  </si>
  <si>
    <t>Gov Labor:  Job Title - Project Lead</t>
  </si>
  <si>
    <t>Erik Torres-Jacquez</t>
  </si>
  <si>
    <t>Base Funded</t>
  </si>
  <si>
    <t>Gov Labor:  Job Title - Business Lead GS13</t>
  </si>
  <si>
    <t>Skip Edel (NPS)</t>
  </si>
  <si>
    <t>Base Funded ($40K)</t>
  </si>
  <si>
    <t>Gov Labor:  Job Title - Technical Lead GS12</t>
  </si>
  <si>
    <t>Cole Belongie (USFS)</t>
  </si>
  <si>
    <t>Gov Labor:  Job Title - Training Lead GS12</t>
  </si>
  <si>
    <t>Kathie Hansen (NPS)</t>
  </si>
  <si>
    <t>Base Funded ($30K)</t>
  </si>
  <si>
    <t>Gov Labor:  Job Title - GIS Specialist GS11</t>
  </si>
  <si>
    <t>TBD</t>
  </si>
  <si>
    <t>FTE to provide training assistance, workflow development, testing, user management and help desk support.  Converted from contract in FY20 (110k) to achieve savings (102k)and ensure long term sustainable enterprise solution</t>
  </si>
  <si>
    <t>Meetings to develop, coordinate, and host training in AGOL and Collector. Coordination meetings, team meetings, area meetings, etc.</t>
  </si>
  <si>
    <t>ESRI</t>
  </si>
  <si>
    <t>Based on high public and operational load on ArcGIS Online we updated the contract to include dedicated database and server resources. This is the actual cost of a contract with ESRI to provide AGOL.</t>
  </si>
  <si>
    <t>Training material publication.</t>
  </si>
  <si>
    <t>ESRI (2017) Unknown 2018</t>
  </si>
  <si>
    <t>Development of workflows, training materials and training website.</t>
  </si>
  <si>
    <t>Helpdesk</t>
  </si>
  <si>
    <t>Helpdesk transferred from INFORM</t>
  </si>
  <si>
    <t>Contracting to provide support for services previously done previously under GeoMAC to now support NIFS funding.  Previous FY contract services expenses have been aligned to FTEs at a reduced expense.  Additional $35K funding to support larger WFIT Data Management development through NPS contracted support in FY 2022</t>
  </si>
  <si>
    <t>Training materials</t>
  </si>
  <si>
    <t>FY 2020 funding transfer from Prep Agreement Dept-wide allocation in support of AGOL project.  Maintain FY 2020 adjusted funding level.</t>
  </si>
  <si>
    <t>FS transfer directly with NPS</t>
  </si>
  <si>
    <t>Continue to fund and support the use of ESRI’s COTS software to improve situational awareness of fire fighters and increase the efficiency of information transfer on incidents.</t>
  </si>
  <si>
    <t>ESRI’s ArcGIS Online (AGOL) and the Collector application are commercial products that offer additional functionality to a current standard application used within fire agencies – ESRI’s ArcMap. AGOL and Collector were successfully piloted on IMT assignments during a 2014 fire season pilot.  Deliverables of the 2014 pilot included the development of standard operating procedures (SOPS), training documents for GISS and IMT personnel and future recommendations for an Interagency AGOL Organization Account with a subsequent proposal to the Interagency Technical Advisory Board (Feb. 2015). The 2015 pilot extension served to further support those SOPs and training documents by expanding the pilot to other IMTs in GACCs and including more GSC members to facilitate training. AGOL now serves as a foundational service that supports a variety of missions and systems including INFORM.</t>
  </si>
  <si>
    <t>Prior to the summer of 2020 ArcGIS Online license costs were $80,000 and provided the basic ArcGIS Online license and some Professional Services support from ESRI to assist us with implementing and supporting ArcGIS Online.
	During the Fire Season of 2020 we saw very high public and operational usage of the NIFS and associated data layers. The public fire perimeter service saw 3 Billion hits. This high load required the increase in our data store capacity from the AGOL normal tier to the M3 dedicated database tier. Erik paid for that cost via credit card on a monthly basis. That allowed us to meet the public demands.
	In April of 2021 we started a new contract with ESRI to include the M3 database services in a contract rather than paying monthly with credit card. This contract was signed 5/3/21
Base Year of contract (FY21 funds) = $108,254
		Option Year 1 (FY22 funds) = $124,547
		Option Year 2 (FY23 funds) = $123,622
	We are still short $30,000 ArcGIS Online funds for FY21 since that was not included in our FY21 budget request.</t>
  </si>
  <si>
    <t>Computer Aided Dispatch (CAD)</t>
  </si>
  <si>
    <t>Project Lead:  Jaymee Fojtik - DOI;
Angie Hinker - USFS</t>
  </si>
  <si>
    <t>Business Lead: Chuck Wamack, DOI</t>
  </si>
  <si>
    <t>Gov Labor:  Project Manager  GS-14/8</t>
  </si>
  <si>
    <t>Fojtik</t>
  </si>
  <si>
    <t>Salary - 23 PP CAD; 3 PP WFDSS</t>
  </si>
  <si>
    <t>Gov Labor:  Business Lead  GS-13/9</t>
  </si>
  <si>
    <t xml:space="preserve">Wamack </t>
  </si>
  <si>
    <t>Salary - 22 PP IRWIN; 4 PP WildCAD</t>
  </si>
  <si>
    <t>Security A&amp;A and ATO process; Fair share cost would be $50K</t>
  </si>
  <si>
    <t>Travel for Business Lead and Project Manager</t>
  </si>
  <si>
    <t>Contract - Administrator Orientation/Training</t>
  </si>
  <si>
    <t>Bighorn Information Systems</t>
  </si>
  <si>
    <r>
      <t>FY 2021 hosting in an ATO Gov Cloud Soution.</t>
    </r>
    <r>
      <rPr>
        <sz val="11"/>
        <rFont val="Calibri"/>
        <family val="2"/>
        <scheme val="minor"/>
      </rPr>
      <t xml:space="preserve">  ($200K from DOI and $200K from FS)</t>
    </r>
  </si>
  <si>
    <t>Contract - Access to softaware, Helpdesk, Installation, Integration Updates, Helpdesk, Training</t>
  </si>
  <si>
    <t>FY21: Base Year: software, helpdesk, Installation, Integration Updates, Training and Travel. ($957 from DOI and $957 from FS)
FY22: Option Year 1: software, helpdesk, Installation, Integration Updates, Training and Travel.</t>
  </si>
  <si>
    <t>Contract - Licensing</t>
  </si>
  <si>
    <t>FS Enterprise licensing</t>
  </si>
  <si>
    <t>Maintain Currency on required certification (FAC/PPM and COR) - Moved from IRWIN</t>
  </si>
  <si>
    <t>FS Funding Provided in FY 2020</t>
  </si>
  <si>
    <t>Carryover funding for FY 2021 funding provided in FY 2020</t>
  </si>
  <si>
    <t>Net Funding required from FS for FY 2021</t>
  </si>
  <si>
    <t>Activity/Project Description</t>
  </si>
  <si>
    <t>Objectives:</t>
  </si>
  <si>
    <t>Maintain CAD currency to operate in the Enterprise Data Exchange Environment and Annual Orientation/Training for Administrators and Dispatchers.</t>
  </si>
  <si>
    <t>Narrative:</t>
  </si>
  <si>
    <t xml:space="preserve">This total includes access to software, installation, training, travel, helpdesk and currency on data integration within the wildland fire enterprise.  This program provides Computer Aided Dispatch (CAD) capability to the local initial attack dispatch centers as the initial data entry point for wildland fire and all hazard incident information.  CAD is a critical tool in day to day operations at dispatch centers to create a standard and effective process to enter information into one system and having it populate many other systems using the data exchange environment. </t>
  </si>
  <si>
    <t>Benefits:</t>
  </si>
  <si>
    <t>Using a CAD in the Data Exchange Service allows dispatchers to focus on their initial attack dispatcher duties which increases situational awareness to fire fighters in the field.  Reduces redundant entry of data, increases data accuracy and data availability.</t>
  </si>
  <si>
    <t xml:space="preserve">   </t>
  </si>
  <si>
    <t>Deliverables:</t>
  </si>
  <si>
    <t>Maintain currency with the Data Exchange Service with the annual release of IRWIN, continue to support the integration of fire fighting resources by exchanging data from/to CAD and IROC, conduct annual orientation for system and site administrators.</t>
  </si>
  <si>
    <t>Contracted Resource Obligation System</t>
  </si>
  <si>
    <t>Project Lead: Chris Buzo, OWF</t>
  </si>
  <si>
    <t>Integration with IROC.  Funded in IRWIN in FY 2018.  Project anticipated to be completed in FY 2019; therefore, no funding required in FY 2020.  Work was not completed in FY 2019; therefore funding is carried over to FY 2020.</t>
  </si>
  <si>
    <t>Carryover for CROS designated transferred to OWF in FY 2019</t>
  </si>
  <si>
    <t>Refer to CROS documentation included in Bureauwides Development folder.</t>
  </si>
  <si>
    <t>FFI</t>
  </si>
  <si>
    <t>Project Lead: Jason Fallon, NPS</t>
  </si>
  <si>
    <t>Budget Leads: Mark Koontz, NPS</t>
  </si>
  <si>
    <t>Gov Labor: Rehired Annuitant, GS14</t>
  </si>
  <si>
    <t>Benson</t>
  </si>
  <si>
    <t xml:space="preserve">As a retired annuitant, Benson will provide CPIC support, project oversight for DOI, manage agreements, develop any contracts, assist with application testing, and provide leadership and direction for the FFI development team.  </t>
  </si>
  <si>
    <t xml:space="preserve">Gov Labor: NPS Ecologist, GS12 </t>
  </si>
  <si>
    <t xml:space="preserve">Keifer spends approximately 30% of her time supporting FFI. NPS covers the cost of this support. </t>
  </si>
  <si>
    <t>Gov Labor:  Gov Labor: Fire Science &amp; Ecology PL, GS14</t>
  </si>
  <si>
    <t>Benson spends up to 5% to 10% of his providing oversight of FFI.  Retired in FY 2020 and brought back as a retired annuitant.</t>
  </si>
  <si>
    <t xml:space="preserve">Gov Agreement:  USFS FAM IAA, USGS EROS IAA, </t>
  </si>
  <si>
    <t>Funds are used to support FFI O&amp;M and FFI modernization.</t>
  </si>
  <si>
    <t>Supports traveling for Benson and Keifer to instruct FFI course and meeting with contractors</t>
  </si>
  <si>
    <t>FFI is a software tool developed to assist managers across all agencies with collection, storage, and analysis of ecological monitoring information (primarily fire effects information).</t>
  </si>
  <si>
    <t xml:space="preserve">FFI is used by managers and planners to: 1) facilitate interagency fuels treatment monitoring, ecological monitoring, and data sharing, 2) meet monitoring mandates and 3) responsibly manage forests, grasslands and watersheds. Federal Law (e.g., NEPA, HFRA and ESA), and bureau and interagency guidance and policy mandate monitoring to determine if land management goals are being met.
FFI is approved for use in all the federal land management agencies and data can be easily shared among Federal and non-Federal cooperators. For example, Grand Teton National Park and Bridger Teton National Forest share monitoring resources and data, as well as Grand Canyon National Park and Kaibab National Forest.
FFI is used to make many ecological assessments such as evaluating sage grouse habitat, presence and spread of bark beetles, inventorying and monitoring woody biomass/carbon, and assessing the condition of grasslands and forests in light of disturbance like fire, climate change, and non-native species. FFI data are used in the adaptive management cycle, e.g., review fuels treatment effectiveness and create new, more effective treatment options. FFI is used in external partnership with other agencies and entities. FFI data are used in decisions made to directly support the FS, NPS, BLM, BIA, and FWS missions, and it enables managers and planners to meet mandated requirements. Because FFI data are easily shared, the DOI bureaus, FS and other cooperators are more effective at comprehensively monitoring, managing and treating watersheds and landscapes. </t>
  </si>
  <si>
    <r>
      <rPr>
        <b/>
        <sz val="9"/>
        <color theme="1"/>
        <rFont val="Arial"/>
        <family val="2"/>
      </rPr>
      <t>Improvements:</t>
    </r>
    <r>
      <rPr>
        <sz val="9"/>
        <color theme="1"/>
        <rFont val="Arial"/>
        <family val="2"/>
      </rPr>
      <t xml:space="preserve">
Because of NPS investment, it is now feasible to move FFI to a web-based application by developing a Web API for FFI to leverage existing FFI database and move data to a data store hosted by USGS EROS that supports both the needs of USFS and DOI users. The data store will increase the use, sharing, and analysis of FFI data. In addition, the use of the API will allow us to expand field data collection methods via tools such as Survey123 and Excel. The additional funds requested in FY21 and FY22 will be used to develop the FFI API, a centralized data store, and field data collection methods support by multiple devices, e.g., tablets, phones, iPads:
•	FY21: 1. Finalize API, data store, and data collection requirements; 2. Build prototype 3. Initiate development
•	FY22: 1 Complete development; 2. Deploy application on USGS EROS Science Shared Web Infrastructure (SWI)
</t>
    </r>
    <r>
      <rPr>
        <b/>
        <sz val="9"/>
        <color theme="1"/>
        <rFont val="Arial"/>
        <family val="2"/>
      </rPr>
      <t>O&amp;M:</t>
    </r>
    <r>
      <rPr>
        <sz val="9"/>
        <color theme="1"/>
        <rFont val="Arial"/>
        <family val="2"/>
      </rPr>
      <t xml:space="preserve">
1.	Maintain FFI desktop application 
2.	Make changes required by the agencies (CIO), including 508 compliance
3.	Maintain functionality with Microsoft Windows OS (Win8 and 10), Microsoft SQL Server</t>
    </r>
    <r>
      <rPr>
        <sz val="9"/>
        <rFont val="Arial"/>
        <family val="2"/>
      </rPr>
      <t xml:space="preserve"> (2017 and 2019</t>
    </r>
    <r>
      <rPr>
        <sz val="9"/>
        <color theme="1"/>
        <rFont val="Arial"/>
        <family val="2"/>
      </rPr>
      <t xml:space="preserve">)
4.	Make bug fixes
</t>
    </r>
    <r>
      <rPr>
        <b/>
        <sz val="9"/>
        <color theme="1"/>
        <rFont val="Arial"/>
        <family val="2"/>
      </rPr>
      <t>User Support Priorities:</t>
    </r>
    <r>
      <rPr>
        <sz val="9"/>
        <color theme="1"/>
        <rFont val="Arial"/>
        <family val="2"/>
      </rPr>
      <t xml:space="preserve">
1.	Maintain current level of user support where greater than 90% of users are satisfied or highly satisfied with the FFI application and FFI technical support.
2.	Respond to technical support requests within one business day 90% of the time.
3.	Continue to improve FFI’s usefulness for land managers by incorporating user suggested changes.
4.	Provide at least one online FFI training sessions annually 
5.	Maintain FFI website: http://www.frames.gov/ffi
6.	Maintain FFI Google Discussion Forum
</t>
    </r>
    <r>
      <rPr>
        <b/>
        <sz val="9"/>
        <color theme="1"/>
        <rFont val="Arial"/>
        <family val="2"/>
      </rPr>
      <t xml:space="preserve">Database Management and Conversion Priorities:
</t>
    </r>
    <r>
      <rPr>
        <sz val="9"/>
        <color theme="1"/>
        <rFont val="Arial"/>
        <family val="2"/>
      </rPr>
      <t>1.	Support existing FFI users database management needs (e.g., database species management, customization of protocols)
2.	Complete conversion of databases currently in the queue to FFI
3.	Support conversion of newly identified databases to FFI</t>
    </r>
  </si>
  <si>
    <t>FFI is an interagency ecological inventory and monitoring software application used by resource managers and planners in multiple disciplines, such as, fire, forestry, range and wildlife. Federal Law (e.g., NEPA, ESA and NFMA), DOI and USFS agency policy (e.g., the Planning Rule and Shared Stewardship initiative, NPS RM18) and interagency guidance (e.g., Cohesive Strategy) mandate inventory and monitoring programs in order to meet the strategic goals of the USFS and DOI.
FFI provides valuable data on Fire Ecology to assist in evaluation fire effects and fuel treatment effectiveness.</t>
  </si>
  <si>
    <t>If FFI is funded at FY20 levels, we will keep FFI in O&amp;M with no enhancements and improvements.  If we receive the full funding request in FY21 and FY22, the FY23 request will be significantly reduced, similar to FY20 levels.</t>
  </si>
  <si>
    <r>
      <t>NPS information systems must comply with the Federal Information Security Management Act (FISMA) and other applicable policies. NPS requires that all applications go through an Assessment &amp; Authorization (A&amp;A) process to obtain an Authorization to Operate (ATO, https://ir.sharepoint.nps.gov/NISC/OSD/ATO/_layouts/15/start.aspx#/SitePages/Home.aspx). 
Currently, FFI is covered by a One Stop ATO.  Other bureaus are also changing their ATO requirem</t>
    </r>
    <r>
      <rPr>
        <sz val="8"/>
        <rFont val="Arial"/>
        <family val="2"/>
      </rPr>
      <t>ents, but this has not impacted</t>
    </r>
    <r>
      <rPr>
        <sz val="8"/>
        <color theme="1"/>
        <rFont val="Arial"/>
        <family val="2"/>
      </rPr>
      <t xml:space="preserve"> FFI yet.  NPS is working with USGS EROS and Axiom </t>
    </r>
    <r>
      <rPr>
        <sz val="8"/>
        <rFont val="Arial"/>
        <family val="2"/>
      </rPr>
      <t xml:space="preserve">IT Solutions to develop an FFI RemoteApp hosted by USGS EROS.  USGS EROS will meet the ATO requirements.  By using the FFI RemoteApp, FFI will no longer need to be install and maintained on NPS computers; FFI will be a server-based application.  This move increases potential applications of FFI data and reduces costs for maintaining and updating individual instances of FFI and SQL Server Express.  Currently, NPS is testing the FFI RemoteApp and </t>
    </r>
    <r>
      <rPr>
        <sz val="8"/>
        <color theme="1"/>
        <rFont val="Arial"/>
        <family val="2"/>
      </rPr>
      <t>is planning to move all NPS users to it by the end of the calendar year. This solution will address NPS needs, but is not adequately robust to support other bureaus and non-federal users, and will be a cumbersome long-term solution for NPS.  In short, the solution does what NPS needs to do to comply with FISMA and other policies, but it is not the best long term solution. However, because of this NPS investment, the FFI Team has established a strong partnership with USGS EROS. In addition, the development of the FFI RemoteApp has made it much more feasible to move FFI to a web API and centralized data store by leveraging the work that has been done to develop the FFI RemoteApp (e.g., the move to Many Tables data schema, using the RemoteApp to access databases on the server).  Moving to a Web API and a centralized data store will support both the needs of USFS and DOI users and potentially the needs of non-federal users; it will also provide a long-term solution for FFI than can evolve through time as technology changes.  The application will be hosted by USGS EROS. We will create a centralized data store and expose data entry through a Web API to extend the life of existing FFI databases. We will build an ETL (Extract, Translate, Load) process so FFI databases can populate the centralize data store on a scheduled or on demand basis. FFI databases host on the RemoteApp can continue to work as a data collection tool in its current state. This strategy opens the opportunity to expand collection methods via tools such as Survey123, Excel, Web Application, etc. The data store will increase the use and analysis of FFI data. The additional funds requested in FY21 and FY22 will be used to develop the FFI web API and centralized data store:
•	FY21: 1. Finalize the API, data collection, and data store requirements; 2. Build prototype 3. initiate development
•	FY22: 1. complete development; 2. Deploy application on USGS EROS Science Shared Web Infrastructure (SWI). Using the SWI allows individual projects like FFI to used shared storage, virtual servers and applications, which eliminates the need to purchases servers.  Also, security patching and remediation costs are shared across the user community, user enhancements are shared across the user community, and the SWI enables accelerated project implementation.  The key points are that the SWI reduces overall development and deployment costs, provides improved data security and integrity, and accelerates development. FFI has been in existence since 2007 supporting the Department, managers and public by providing fundamental information used to track and manage important ecological processes and resources. This effort will modernize FFI from its 2007 design and meet current and future business standards and policy requirements, and better support users' needs into the future.</t>
    </r>
  </si>
  <si>
    <t>Fire Effects Information System</t>
  </si>
  <si>
    <t>Project Lead: Jason Fallon, OWF</t>
  </si>
  <si>
    <t xml:space="preserve">Budget Leads: </t>
  </si>
  <si>
    <t xml:space="preserve">Gov Agreement:  Fire Effects Information System (FEIS) </t>
  </si>
  <si>
    <t xml:space="preserve">FY 2018 agreement was managed by BLM. The Fire Effects Information System (FEIS) is an online collection of reviews of the scientific literature about fire effects on plants and animals and about fire regimes of plant communities in the United States. FEIS reviews are based on thorough literature searches, often supplemented with insights from field scientists and managers. FEIS provides reviews that are efficient to use, thoroughly documented, and defensible. FEIS is used extensively by the fire, fuels management and fire rehabilitation program community to help plan for wildland fire and its effects as related to ecosystem restoration, conservation and resiliency.  The funding will provide an increase in the quality of fire effects information.  </t>
  </si>
  <si>
    <t>FireCode</t>
  </si>
  <si>
    <t>Project Lead: John Noneman</t>
  </si>
  <si>
    <t>Budget Lead:  Rhonda Toronto</t>
  </si>
  <si>
    <t>FY 21: HDS - $18k, O&amp;M - $37k, A&amp;A - $15k, 95k DME to support annual iRWIn API updates. FY 22: HDS - $19k, O&amp;M - $40k, A&amp;A - $16k, 100k DME to support annual iRWIn API updates</t>
  </si>
  <si>
    <t>Oracle licenses, includes increased Java licensing cost.</t>
  </si>
  <si>
    <t>FY 2019 carryover identified to defray FY 2020 project cost</t>
  </si>
  <si>
    <t>Continue providing firecodes to all partners/systems as the system of record for the NWCG firecodes, which are the codes that are used to uniquely identify the incident costs within the federal and state government that are involved in wildland fire management.</t>
  </si>
  <si>
    <t>The standard fire code project identifiers are utilized by all federal wildland fire agencies in order to accurately track costs of wildland fire suppression across multiple jurisdictions.  FireCode interconnects through IRWIN to the CAD systems and it provides fire codes directly to FS and DOI financial systems through interfaces.</t>
  </si>
  <si>
    <t>Briefly describe FY 2021 deliverables and any budget or implementation changes from FY 2021.</t>
  </si>
  <si>
    <t>Maintain FireCode and ensure its operation meets the needs of the greater wildland fire community.  Perform annual updates to the interconnection with IRWIN.  Perform upgrades that will enhance FireCode systems ability to prevent duplicates and other potentials for error.</t>
  </si>
  <si>
    <t>Congressional mandate; fire business requirement</t>
  </si>
  <si>
    <r>
      <t xml:space="preserve">Funding Impacts </t>
    </r>
    <r>
      <rPr>
        <sz val="10"/>
        <color rgb="FF000000"/>
        <rFont val="Arial"/>
        <family val="2"/>
      </rPr>
      <t>(</t>
    </r>
    <r>
      <rPr>
        <i/>
        <sz val="10"/>
        <color rgb="FF000000"/>
        <rFont val="Arial"/>
        <family val="2"/>
      </rPr>
      <t>for Common Services only)</t>
    </r>
  </si>
  <si>
    <t>The wildland fire community uses FireCode to generate a financial code that is then used by many different entities to track the total cost of an incident.  This would be compromised if funding were not received.  Financial identifiers would have to be generated by the dispatch community, and the accountability of costs for reporting would be significantly impacted.</t>
  </si>
  <si>
    <t>Project Lead:   Chris Buzo</t>
  </si>
  <si>
    <t>Budget Lead:  Trent Randall</t>
  </si>
  <si>
    <t>Gov Labor: Program Manager</t>
  </si>
  <si>
    <t>Possible FS project manager detailer. Vice Green (50% to WFDSS and 50% to FireNet)</t>
  </si>
  <si>
    <t>Gov Agreement:  OCIO Overhead</t>
  </si>
  <si>
    <r>
      <t xml:space="preserve">Business Office Overhead Fee. Included in FireNET licensing cost in SLA funding.  </t>
    </r>
    <r>
      <rPr>
        <sz val="11"/>
        <color rgb="FFFF0000"/>
        <rFont val="Calibri"/>
        <family val="2"/>
      </rPr>
      <t>Moved to SLA in FY 2020 and included in the cost of the licenses</t>
    </r>
  </si>
  <si>
    <t xml:space="preserve">Gov Agreement:  OCIO Contract </t>
  </si>
  <si>
    <r>
      <t xml:space="preserve">SaaS Licenses, Cloud Support, Contract for IITS/Firenet, SMTP support.  </t>
    </r>
    <r>
      <rPr>
        <sz val="11"/>
        <color rgb="FFFF0000"/>
        <rFont val="Calibri"/>
        <family val="2"/>
      </rPr>
      <t>Moved to SLA in FY 2020</t>
    </r>
  </si>
  <si>
    <t>Technical Lead</t>
  </si>
  <si>
    <t>With removal of Gov FTE due to realignment, need for Technical lead still exists and must be contracted (previously Rick Miller).</t>
  </si>
  <si>
    <t>Integration Engineer</t>
  </si>
  <si>
    <t>Previously funded as Government Salary.  Funded via OCIO Agreement (TBD)</t>
  </si>
  <si>
    <t>WildLand Fire ISSO</t>
  </si>
  <si>
    <t>Previously funded as Government Salary.  Funded via OCIO Agreement (Dominick Mancuso)</t>
  </si>
  <si>
    <t>Contract Labor:  Web Development and Admin Support</t>
  </si>
  <si>
    <t>Tara Taylor, and TBD</t>
  </si>
  <si>
    <t>Environment development and admin, license provision, communication and operational coordination -- Services obtained through OCIO IT Personnel Services contract</t>
  </si>
  <si>
    <r>
      <t>DOI project adjustment to obtain FY 2017 less 20% WFIT reductions; Revision to budget based on FY19 budget drill - restored budget to $670 + $75 proposed in carryover funding.  Increase funding level by $11K for FS amount provided in annual agreement.  Adjust $222K to IQCS.</t>
    </r>
    <r>
      <rPr>
        <sz val="11"/>
        <rFont val="Calibri"/>
        <family val="2"/>
        <scheme val="minor"/>
      </rPr>
      <t xml:space="preserve">  FY 2020 adjustment to reflect FS reduction in funding of $107K.  </t>
    </r>
    <r>
      <rPr>
        <sz val="11"/>
        <color rgb="FFFF0000"/>
        <rFont val="Calibri"/>
        <family val="2"/>
        <scheme val="minor"/>
      </rPr>
      <t>FY 2021 reduction due to adjustment to FireNET Licensing, increase of $83K, increasing FS FireNET Licensing SLA and reducing FS FireNet Project funding.</t>
    </r>
    <r>
      <rPr>
        <sz val="11"/>
        <color theme="1"/>
        <rFont val="Calibri"/>
        <family val="2"/>
        <scheme val="minor"/>
      </rPr>
      <t xml:space="preserve">  Adjust PM cost estimate included for FY 2022; previously vice Green included in OWF base.</t>
    </r>
  </si>
  <si>
    <t>Other funds available to defray costs</t>
  </si>
  <si>
    <t>DOI share (WFM)</t>
  </si>
  <si>
    <t>DOI share (non-WFM)</t>
  </si>
  <si>
    <t>FY 2021 FS funding of $1,011K was used for licensing costs.  Remainder of FY2021 FS funding not going to licenses will offset project expenses in FY2021</t>
  </si>
  <si>
    <t>FxNET</t>
  </si>
  <si>
    <t>Project Lead: Nick Nauslar</t>
  </si>
  <si>
    <t>NOAA</t>
  </si>
  <si>
    <t>O&amp;M on existing system, BLM reimbursable agreement with NOAA. New contract runs Feb-Feb as to not coincide with end/start of FY</t>
  </si>
  <si>
    <t>FS transfer required to BLM</t>
  </si>
  <si>
    <t>The Predictive Services Units (PSU) at the Geographic Area Coordination Centers (GACC) and at the National Interagency Fire Center (NIFC) have the responsibility of predicting weather and climate patterns to fulfill their mission of supporting the wildland fire community and others with information and decision support products. NOAA/ESRL/GSL has developed AWIPS II/FX-CAVE to specifically meet the needs of each PSU. Under a prior agreement, the systems have been customized to provide Predictive Services forecasters with data sets and tools not available commercially. GSL will continue the process of identifying technologies that will be documented to assist in the transition of this system from research to operations (R2O) for the GACC PSUs and NIFC. This will include hardware upgrades to accommodate performance issues related to the higher resolution and bandwidth needs for the new satellites, numerical model output, etc. The goal is to have the system fully transitioned to a cloud-based system by Year 3. Determination of which will be determined on agency IT security requirements.</t>
  </si>
  <si>
    <t>This agreement continues the cooperation between the U.S. Department of Interior, Bureau of Land Management-National Interagency Fire Center (BLM) and the U.S. Department of Commerce, National Oceanic and Atmospheric Administration (NOAA), Earth System Research Laboratory (ESRL), Global Systems Laboratory (GSL) in support of wildland fire research, management, and suppression efforts.NOAA/ESRL/GSL has developed and maintained weather information workstations, fire weather models and observational data dissemination, delivery and visualization software for the Predictive Services forecasters at the NIFC Geographical Area Coordination Centers since 2003. Migration of the AWIPS I FX-Net and Gridded FX-Net systems to the AWIPS II/FX-CAVE Remote Client system was successfully completed in 2016. Researchers and systems support personnel at GSL continue to work closely with the NIFC management and the GACC forecasters to identify and add system enhancements and ensure the demonstration system continues to perform with a high degree of reliability.</t>
  </si>
  <si>
    <t xml:space="preserve">GSL will continue to support FX-CAVE for Predictive Services. GSL is working on transitioning and testing the cloud-based AWIPS system. PS units will be using the cloud-based system to test throughout the year. GSL and PS will work together to customize data streams into FX-CAVE, including new data that is not currently available. </t>
  </si>
  <si>
    <t>Authority issued under: 31 USC 1535 Economy Act of 1932, as amended. Agreement between GSL and BLM.</t>
  </si>
  <si>
    <t>IFTDSS</t>
  </si>
  <si>
    <t>Project Lead:  Jason Fallon / Kristy Swartz / Tim Sexton / Kim Ernstrom / Caroline Noble / Henry Bastian</t>
  </si>
  <si>
    <t>Budget Leads:  Stephen Elmore / Kim Salwasser / Amy Kispaugh</t>
  </si>
  <si>
    <t xml:space="preserve">Gov Labor:   Project Manager </t>
  </si>
  <si>
    <t>Bastian</t>
  </si>
  <si>
    <t>DOI Split between IFTDSS, LANDFIRE, &amp; NFPORS</t>
  </si>
  <si>
    <t xml:space="preserve">Gov Labor:  Project Management Support </t>
  </si>
  <si>
    <t>Gov Labor:  Technical SME</t>
  </si>
  <si>
    <t>Gov Agreement: DOI - OCIO - A&amp;A support</t>
  </si>
  <si>
    <t>Funding supports A&amp;A (Assessment &amp; Authorization) work.</t>
  </si>
  <si>
    <t>Gov Agreement: Transfer (FAM &amp; OWF MOU)</t>
  </si>
  <si>
    <t>FS</t>
  </si>
  <si>
    <t xml:space="preserve">Funding transfer from the FS.  FAM/OWF Transfer/MOU FY21 amount is $919,500.  This amount will be split across IFTDSS, FTEM and FMSF.  IFTDSS 319k, FTEM 300k, and FMSF 300k.   Total amount is 619k for contract purposes with IFTDSS/FTEM in the same contract.  Issues still remain with alignment in FS IRDB/AgMax systems (just like DOI FOLIO/eCPIC numbers are not in complete alignment based on timing and lock of these systems).  Given this budget split direction, it will take some time to work through aligning things. </t>
  </si>
  <si>
    <t>Gov Agreement:  OCIO - ISSO</t>
  </si>
  <si>
    <t>Bracebridge</t>
  </si>
  <si>
    <t xml:space="preserve">Position with OCIO for ISSO role on OWF projects.  Shared across other OWF projects: IRWIN, Firenet, and IFTDSS. </t>
  </si>
  <si>
    <t>Other Non-Federal Contractual Services: Cloud/Security - IFTDSS/FTEM</t>
  </si>
  <si>
    <t>IBM</t>
  </si>
  <si>
    <t xml:space="preserve">IBM contract (FFP) - IFTDSS potion of cloud costs.  Contract ends in FY2021 and as things transition/migrate to SAIC AWS, potentially no funding is needed in FY22 but putting 15k as a place holder in the event an extension is needed.  </t>
  </si>
  <si>
    <t>SAIC</t>
  </si>
  <si>
    <t xml:space="preserve">SAIC AWS OWF Enterprise/Unified Cloud - IFTDSS, FTEM, &amp; FMSF portion of cloud costs. </t>
  </si>
  <si>
    <t>Other Non-Federal Contractual Services: System O&amp;M - IFTDSS / FTEM</t>
  </si>
  <si>
    <t xml:space="preserve">IBM contract (FFP) - O&amp;M costs with the contract.  This contract will be recompeted in FY2020 and given cost uncertainty, costs are likely to be higher especially for the first year(s) of the contract. </t>
  </si>
  <si>
    <t>Other Non-Federal Contractual Services: System DME - IFTDSS/FTEM</t>
  </si>
  <si>
    <t>IBM contract (FFP) - DME costs with  the contract.  Uncertantity if this investment will be recompeted or transitioned as part of agreement with USDA FS EAS.  There is also cost uncertainty with this and based on nextgen WFDSS costs and FMSF estimated costs with EAS, costs are likely to be higher especially for the first year(s) of the contract.  Future years will be adjusted if this is the case.</t>
  </si>
  <si>
    <t>Other Non-Federal Contractual Services: System O&amp;M/DME - FMSF</t>
  </si>
  <si>
    <t>EAS</t>
  </si>
  <si>
    <t xml:space="preserve">USDA EAS Agreement/contract for FMSF - Principally O&amp;M work with little DME in FY22 funded with FY21 dollars.    </t>
  </si>
  <si>
    <t>Other Non-Federal Contractual Services: Contract Transition?</t>
  </si>
  <si>
    <t xml:space="preserve">IFTDSS/FTEM portion of work will need some transition in FY2022 for either a move to USDA EAS or as part of a follow on contract and the transition from IBM to some new vendor. </t>
  </si>
  <si>
    <t>Other Non-Federal Contractual Services: FTEM</t>
  </si>
  <si>
    <t xml:space="preserve">DOI Fuels Management Committee (FMC) has supported FTEM with a transfer to the FS in the past on the DOI Fuels Agreements tab and Common Services Decision Document} .  Beginning in FY16 the funding support was retained within DOI and not sent to FS, it was moved from the general fuels tab and applied to the IFTDSS tab for FTEM work.  </t>
  </si>
  <si>
    <t xml:space="preserve">Other Non-Federal Contractual Services: </t>
  </si>
  <si>
    <t>Two parts {5k for DOI - Costs to maintain FAC/PPM credentials} and 50k for training effort to field to support users in IFTDSS}</t>
  </si>
  <si>
    <t xml:space="preserve">Other Contract - Management Reserve </t>
  </si>
  <si>
    <t xml:space="preserve">Management Reserve - Industry best practices target the amount of 10% to be placed in a project management reserve.  The $175K is less than 10% of the project costs and would be used to mitigate risks and support funding the project especially since this contract will be recompeted in FY2020. </t>
  </si>
  <si>
    <t>Project Adjustment -Management Revision</t>
  </si>
  <si>
    <t>Check with Project Lead before doing FAM/OWF MOU transfer.</t>
  </si>
  <si>
    <t>IFTDSS provides interagency users with a secure, web-based, service-oriented architecture that organizes existing software tools into an integrated framework, making fuel treatment planning and analysis more effective, efficient and defensible.
- IFTDSS provides interagency users the ability to access many different fire and fuels management software tools from a single web-based portal.
- IFTDSS provides users with access to authoritative data resources and tools improving accuracy of information-using a standards-based approach.
- IFTDSS enables the linkage of a variety of existing, independent models of vegetation information, fire behavior, fire effects, fuel treatment, and risk assessment that saves the user time and costs.</t>
  </si>
  <si>
    <t xml:space="preserve">The Interagency Fuel Treatment Decision Support System (IFTDSS) is a web-based application structured around the planning cycle (Evaluate, Plan, Implement, Monitor, and Report) to make fuels treatment planning and analysis more efficient and effective through the integration of multiple fire behavior and fire effects models. Users can evaluate a landscape of interest testing a variety of fuels treatment actions (thin, clear cut, prescribed burn, etc.) through modeling fire behavior and fire effects using LANDFIRE data under a variety of fuel and weather conditions whereupon downloadable maps, graphs, tables, and reports are easily generated. This step by step process analyzing treatment scenarios assists users in comparing outputs to help determine which modeled action best achieves the desired results with objectives such as reduced fire behavior, intensity, and extent.  IFTDSS is a functional web-based system that provides fuel management specialists with enhanced planning capabilities including, the ability to demonstrate fuel treatment effectiveness.  IFTDSS is working on a Risk Assessment workflow which will provide fire management specialists with a standardized, scientific, and consistent way to complete this work.   IFTDSS provides workflow processes to agency fire management specialists that can be used to create and defend NEPA and non-NEPA decision documents, wildfire and fuel treatments analysis and monitoring, and evaluation of modeled fuel treatment effects.                                                                             It is estimated that once IFTDSS is fully developed, it will save the Departments significant costs each year associated with separate planning, analysis, and modeling tools and software.   
-	IFTDSS may become the standard planning and reporting for treatment activities and accomplishments for the fuels management and Burned Area Rehabilitation programs for DOI WFM. 
-	Geospatial environment to analyze, evaluate, and document fuel treatment interactions with wildfires
-	IFTDSS will provide key information using models and data to perform standardized analyses within the cycle workflows providing decision support.  
-	Future developments will provide ability to track and store prescribed fire burn plans and required analysis (fire behavior, complexity, etc.) and project monitoring.    
A review by Carnegie Mellon and the Software Engineering Institute reviewed IFTDSS and provided the following recommendations/benefits:
-	Ecosystem Management Investment Approach; Greater investment in ecosystem management practices to demonstrate avoided costs. 
-	Explicitly define roles and manage responsibilities
-	Initiate cooperative research approaches 
-	Create case example of framework architectures
-	Explicitly expose framework functionality
-	Identify critical information needed for data fusion
-	Initiate shared norms and standards
-	Institute proactive operational and technology scanning
-	Create service interfaces into the system
Enterprise-Wide Identity as a Service Capability                               </t>
  </si>
  <si>
    <t xml:space="preserve">The budget increase in the 'target request' would support the recompeted contract that is planned to be done in FY2020.  Given cost uncertainty, costs are likely to be higher especially for the first year(s) of the contract.  The following are the types of deliverables that increased funding would support assuming they were not able to be accomplished under the FY2021 'Directed Budget Amount':
1.	FTEM improvements.
2.	Development work in IFTDSS for the planning cycle with additional workflows leveraging added tools/models/data (e.g. smoke management) monitoring &amp; reporting (comparisons) functionality, Group Workspaces, and Burn Plan Template (Complexity Analysis).   
3.	User training support.                                                                                                                                                                                                              4.             Standard planning framework for fuels management projects (treatment) 
5.             Risk Assessment Workflow Implementation for standardized work across agencies.                                            
6.             Perform analyses and assessments for use in the decision-making process.                                                                                                                 7.             Modeled Analyses on fuel treatment effectiveness going beyond the simple yes or no that the treatment was effective.                                                                                   
8.             Finish development on Prescribed Burn planning functionality with complexity analysis toward final plans and reports.  </t>
  </si>
  <si>
    <t xml:space="preserve">2015 GAO-16-217T Agencies' Efforts to Assess Program Effectiveness                                                                                               2014 (Record of Decision) approved by the Wildland Fire Information and Technology (WFIT) Executive Board and Fire Management Board.                                                                                                                                                                                      2014 National Cohesive Wildland Fire Management Strategy.                                      
2009 Federal Land Assistance, Management, and Enhancement (FLAME) Act,                                                                               2007 GAO-07-1168 Better Information and a Systematic Process
</t>
  </si>
  <si>
    <r>
      <rPr>
        <i/>
        <u/>
        <sz val="9"/>
        <color theme="1"/>
        <rFont val="Arial"/>
        <family val="2"/>
      </rPr>
      <t xml:space="preserve">Impact if majority of funding is not received:  </t>
    </r>
    <r>
      <rPr>
        <sz val="9"/>
        <color theme="1"/>
        <rFont val="Arial"/>
        <family val="2"/>
      </rPr>
      <t xml:space="preserve">
The contracts would be shut down and the system would no longer be maintained.  If cloud contract funding were not available, the system would not be accessible.  Fuel Treatments interactions with wildfires through the FTEM module would need a new platform.  Agency Administrators would not have science-based data and modeling to support their decisions with data results from inputs and outputs that inform outcome to impact decisions.  Not providing for regularly updated data for modelling leads to decreased awareness for decision making and allocation of resources for executives as this dataset is foundational to numerous geo-spatial architecture systems for land management agencies and programs.
</t>
    </r>
    <r>
      <rPr>
        <i/>
        <u/>
        <sz val="9"/>
        <color theme="1"/>
        <rFont val="Arial"/>
        <family val="2"/>
      </rPr>
      <t xml:space="preserve">Specifics if funding is not received: </t>
    </r>
    <r>
      <rPr>
        <sz val="9"/>
        <color theme="1"/>
        <rFont val="Arial"/>
        <family val="2"/>
      </rPr>
      <t xml:space="preserve"> The addition of planning, analysis, and modeling functionality to demonstrate fuel treatment effectiveness and efficiencies would not be completed and resultant work would not be as defensible or completed in a common framework across the agencies/bureaus but would continue to sit on individual computers.  Ability to meet or make progress in meeting congressional, OMB and other reporting at the local scale would be reduced as well as the ability to conduct evaluations as required by statute.  
Critical components with IFTDSS are the shared relationships with the following investments: 
1.	The fire models and tools (FlamMap, Farsite, etc…) are an essential function of IFTDSS that would be provided via the Fire Modeling Services Framework (FMSF).  This modeling/data services relationship with FMSF structures things so IFTDSS, WFDSS, and other systems do not need to build this functionality individually within their systems. 
2.	These models and tools cannot function without the LANDFIRE program that provides the landscape data and a service that “serves” that data to the FMSF. 
3.	An essential system component is the weather service which “serves” weather data (e.g. gridded weather to the FMSF). </t>
    </r>
  </si>
  <si>
    <t xml:space="preserve">Target Request is a 29% increase from the 'Directed Budget Amount' but is not a true increase as it puts IFTDSS back at the funding level it had for FY2020.  This funding balance supports the contracted costs of the contracts (cloud and system) and these WFM objectives:                                                                                                                                     1.   FTEM enhancements and improvements.
2.   Development work in IFTDSS for the planning cycle with additional workflows leveraging added tools/models/data (e.g. smoke management) monitoring &amp; reporting (comparisons) functionality, Group Workspaces, and Burn Plan Template (Complexity Analysis).   
3.   User training support.                                                                                                                                                                                  4.   Standard planning framework for fuels management projects (treatment) 
5.   Risk Assessment Workflow Implementation for standardized work across agencies.                                            
6.   Perform analyses and assessments for use in the decision-making process.                                                                                                                                                                                  7.   Modeled Analyses on fuel treatment effectiveness going beyond the simple yes or no that the treatment was effective.                                                                                   
8.   Finish development on Prescribed Burn planning functionality with complexity analysis toward final plans and reports.  </t>
  </si>
  <si>
    <t>InFORM</t>
  </si>
  <si>
    <t>Project Lead: Brandon Green</t>
  </si>
  <si>
    <t>Budget Lead: Andy Kirsch / BJ Glesner</t>
  </si>
  <si>
    <t>Gov Labor:  Project Manager - GS 14/7</t>
  </si>
  <si>
    <t>Gov Labor:  Business Lead - GS 13/6</t>
  </si>
  <si>
    <t>Gov Labor:  Communications Support</t>
  </si>
  <si>
    <t>Help desk.  Moved to AGOL in FY 2022.</t>
  </si>
  <si>
    <t>Contract - Development</t>
  </si>
  <si>
    <t>ITSS-2</t>
  </si>
  <si>
    <t>Continue functionality development (FMIS, FIRESTAT).  BLM interim contract and hold remaining funding in Parent</t>
  </si>
  <si>
    <t>Contract - Operations and Maintenance</t>
  </si>
  <si>
    <t>Annual recurring costs.  Move funding to BLM interim contract and hold remaining funding in Parent.  Adjust funding for NFPORS transfer in support of contract.</t>
  </si>
  <si>
    <t>Contract - Production Hosting</t>
  </si>
  <si>
    <t>FEDRAMP</t>
  </si>
  <si>
    <t>iRWIn Hosting (DEV, UAT, and PROD)</t>
  </si>
  <si>
    <t>FY 2022 adjustment to Prep to PB level under CR</t>
  </si>
  <si>
    <t>SEE Separate Narrative</t>
  </si>
  <si>
    <t>IQCS</t>
  </si>
  <si>
    <t>Project Lead:  Shannon Tippett</t>
  </si>
  <si>
    <t>Budget Leads: Robyn Post</t>
  </si>
  <si>
    <t>Gov Labor:  Job Title:  PeopleSoft Programmer</t>
  </si>
  <si>
    <t>Guy Colwell</t>
  </si>
  <si>
    <t>Increased FTE costs reflect better data of actuals.</t>
  </si>
  <si>
    <t>Gov Labor:  Job Title:  Database Administrator</t>
  </si>
  <si>
    <t>Moving to new project</t>
  </si>
  <si>
    <t>Gov Labor:  Job Title:  Application Steward</t>
  </si>
  <si>
    <t>Wendy Christopher</t>
  </si>
  <si>
    <t>Gov Labor:  Job Title:  Business Steward</t>
  </si>
  <si>
    <t>Marley Marshall</t>
  </si>
  <si>
    <t>Gov Labor:  Job Title:  Program Manager</t>
  </si>
  <si>
    <t>Shannon Tippett</t>
  </si>
  <si>
    <t>DOI All Hazard</t>
  </si>
  <si>
    <t>Air Force</t>
  </si>
  <si>
    <t>Army ~ New in FY 2022</t>
  </si>
  <si>
    <t>Employee meeting attendance.</t>
  </si>
  <si>
    <t>Contributed Data Center costs.</t>
  </si>
  <si>
    <t>Application change management, DR hosting, Help Desk, A&amp;A, online training update.  Additional 50% contractor cost for account management (HelpDesk).</t>
  </si>
  <si>
    <t>Consider contract for analysis and transition input</t>
  </si>
  <si>
    <t>Employee training attendance.</t>
  </si>
  <si>
    <t>PeopleSoft licenses, Oracle licenses, DigiCert.</t>
  </si>
  <si>
    <t>Server hardware, lifecycle, disaster recovery</t>
  </si>
  <si>
    <t>DOI Prep considering DOI All Hazard, Air Force and Army Contributions</t>
  </si>
  <si>
    <t>DOI All risk Total Contribution</t>
  </si>
  <si>
    <t>Split</t>
  </si>
  <si>
    <t>Based on %</t>
  </si>
  <si>
    <t>Adjusted to PB under CR</t>
  </si>
  <si>
    <t>Air Force Contribution</t>
  </si>
  <si>
    <t>Army Contribution</t>
  </si>
  <si>
    <t>DOI and USAF share of costs</t>
  </si>
  <si>
    <t>Adjusted</t>
  </si>
  <si>
    <t>IrWIN</t>
  </si>
  <si>
    <t>Project Lead: Brandon Green, DOI</t>
  </si>
  <si>
    <t>Budget Leads: Chuck Wamack-DOI and Kara Stringer-USFS</t>
  </si>
  <si>
    <t xml:space="preserve">Gov Labor:  Project Manager </t>
  </si>
  <si>
    <t>Green</t>
  </si>
  <si>
    <t>Salary - 26 PP IRWIN; Funded in OWF base budget in FY 2021</t>
  </si>
  <si>
    <t>Gov Labor:  Business Lead GS 13/9</t>
  </si>
  <si>
    <t>Wamack</t>
  </si>
  <si>
    <t>Gov Labor:</t>
  </si>
  <si>
    <t>Gov Agreement: OCIO Security</t>
  </si>
  <si>
    <t>DOI OCIO</t>
  </si>
  <si>
    <t>OCIO Provided Service under agreement (Bracebridge)</t>
  </si>
  <si>
    <t>Gov Agreement: OCIO Contracted Services A&amp;A</t>
  </si>
  <si>
    <t>USFS Business Lead funded through FAM IT (50% salary @ $52k and $13k travel)</t>
  </si>
  <si>
    <t>2 PM and 1 BL ea @$13k</t>
  </si>
  <si>
    <t>Webmaster and communications support</t>
  </si>
  <si>
    <t>Training Materials and Guides</t>
  </si>
  <si>
    <t xml:space="preserve">Other Contract - </t>
  </si>
  <si>
    <t>Other Contract - Help Desk/Operations and Maintenance/Licenses</t>
  </si>
  <si>
    <t>FEDRAMP/ Unisys</t>
  </si>
  <si>
    <r>
      <t xml:space="preserve">Hosting serivces for 4 environments, Managed Services, Patching, and Software Updates (moves IRWIN from IaaS to PaaS). Additional infrastructure support for InFORM </t>
    </r>
    <r>
      <rPr>
        <b/>
        <sz val="11"/>
        <color theme="1"/>
        <rFont val="Calibri"/>
        <family val="2"/>
        <scheme val="minor"/>
      </rPr>
      <t>$125k coming from INFORM</t>
    </r>
    <r>
      <rPr>
        <sz val="11"/>
        <color theme="1"/>
        <rFont val="Calibri"/>
        <family val="2"/>
        <scheme val="minor"/>
      </rPr>
      <t xml:space="preserve"> Total contract cost $540k</t>
    </r>
  </si>
  <si>
    <t>Other Contract - IRWIN O&amp;M Hybrid</t>
  </si>
  <si>
    <t>Contract cost O&amp;m and development contract Option Yr 2</t>
  </si>
  <si>
    <t>Contract - Data Support</t>
  </si>
  <si>
    <r>
      <t xml:space="preserve">Data Support Services Option Yr 3 for IRWIN and NWCG(includes $472 for IRWIN and </t>
    </r>
    <r>
      <rPr>
        <b/>
        <sz val="11"/>
        <color theme="1"/>
        <rFont val="Calibri"/>
        <family val="2"/>
        <scheme val="minor"/>
      </rPr>
      <t xml:space="preserve">$179k for NWCG support </t>
    </r>
    <r>
      <rPr>
        <sz val="11"/>
        <color theme="1"/>
        <rFont val="Calibri"/>
        <family val="2"/>
        <scheme val="minor"/>
      </rPr>
      <t>for total contract cost of $641k)</t>
    </r>
  </si>
  <si>
    <t>Other Contract - CAD Support</t>
  </si>
  <si>
    <t>Varied</t>
  </si>
  <si>
    <t>Support CAD integration updates and enhancements</t>
  </si>
  <si>
    <t>Maintain Currency on required certification (FAC/PPM and COR)</t>
  </si>
  <si>
    <t>Materials required such as room rentals, notes, web support, etc.</t>
  </si>
  <si>
    <t>Update computers, phones, tablets, etc.; GFE and Onboarding for new vendors</t>
  </si>
  <si>
    <t>Adjust reduction ($125K) based on change in Data Mgmt funding request.</t>
  </si>
  <si>
    <t xml:space="preserve">Project Leads: Henry Bastian / Frank Fay / Tim Hatten / Birgit Peterson </t>
  </si>
  <si>
    <t>Budget Leads: Stephen Elmore / Kim Salwasser / Amy Kispaugh</t>
  </si>
  <si>
    <t>Gov Labor:  DOI Business Lead</t>
  </si>
  <si>
    <t>Gov Agreement:  USGS/EROS (RSA) Agreement</t>
  </si>
  <si>
    <t xml:space="preserve">USGS </t>
  </si>
  <si>
    <t xml:space="preserve">In FY 2022 LANDFIRE should be transitioned from the Remap project to the planned lower cost update schedule.  Plans as of 2020 are to produce an "Annual" upate assuming funding is available and LF continues to be supported at DOI.  Rough budget amount for total program will be about 3.4M annually (1.7 FS &amp; 1.7 DOI).  Down from about 4.4M annually for LF2016 Remap. </t>
  </si>
  <si>
    <t>Gov Agreement:  Transfer (FAM &amp; OWF MOU)</t>
  </si>
  <si>
    <t>FS funding has varied.  $1,100,000 for FS contributed costs towards USGS EROS RSA is an estimated value.</t>
  </si>
  <si>
    <t>Gov Agreement:  RSA - USGS/EROS (Catchup)</t>
  </si>
  <si>
    <t>USGS</t>
  </si>
  <si>
    <t xml:space="preserve">Travel would support the following kinds of travel: Possibly one trip to Sioux Falls, SD at USGS EROS, two trips to DC (meetings with USGS Associate Directors in Reston, VA., with FS FAM, and OWF) and possibly one conference. </t>
  </si>
  <si>
    <t>Other Contract - Management Reserve</t>
  </si>
  <si>
    <t>Management Reserve - Industry best practices target a 10% amount for management reserve.  The $110,000 is less than this best practice.  Funding would be used to mitigate risks and budget uncertainty.</t>
  </si>
  <si>
    <t xml:space="preserve">Support for supplies and materials.   </t>
  </si>
  <si>
    <t xml:space="preserve">FS contributed costs towards LANDFIRE:   Check with Project Lead before doing FAM/OWF MOU transfer as budget is estimated earlier before funding is known. </t>
  </si>
  <si>
    <t>FY 2021 Directed Amount</t>
  </si>
  <si>
    <t>Shared program between the wildland fire management of the U.S. Department of Agriculture Forest Service and U.S. Department of the Interior, with support through a cooperative agreement with The Nature Conservancy (TNC).  LANDFIRE provides landscape scale biological and ecological geo-spatial products to support cross-boundary planning, management, evaluation, assessment, and operations.</t>
  </si>
  <si>
    <t xml:space="preserve">This multi-partner program (Funding is principally from FS and DOI but TNC provides some funding given the terms of the cooperative agreement) produces consistent, comprehensive, geospatial data and databases that describe vegetation, wildland fuel, and fire regimes across the United States and insular areas. 
LANDFIRE is a cornerstone of a fully integrated national data information framework developing and improving vegetation and fuels data products based on the best available authoritative data and science in an all lands landscape conservation approach based on inter-agency/inter-organizational collaboration and cooperation. LANDFIRE is acknowledged for management excellence and effective mission delivery. LANDFIRE data is a critical component for WFDSS, IFTDSS, and the FMSF and provides key data for risk mapping and hazard analysis that are key for wildland fire management. 
LANDFIRE's mission is to provide agency leaders and managers with a common "all-lands" data set of vegetation and wildland fire/fuels information for strategic fire and resource management planning and analysis.
While some only see LANDFIRE as a fuels product, the data are a lot more for fire management activities from NEPA analysis, fire planning, fire monitoring, fire suppression operations, restoration/rehabilitation, and wildland fire performance measures.                                                                                                                                                                                               LANDFIRE products provide data for landscape assessment, analysis, research, planning, monitoring, management, restoration/rehabilitation, and some performance measures {In DOI Strategic Plan 14-18 Goal 1, Strategy 3, PM#1:  “Percent of DOI-managed landscape acres that are in a desired condition as a result of fire management objectives”}. 
Data and information serve as important data sets in decision support with efforts such as identification of areas with similar characteristics, prioritization exercises, modeling capacity and potential, and improving collaboration between landowners with common data sets and analytics.  LANDFIRE is used in many areas such as; WFDSS, FSIM/WFIPS, IFTDSS, FMSF, Fire Behavior and Hazard Assessments, and Analyses.                                      </t>
  </si>
  <si>
    <t>Dependent on budget – could include some of the following:                                                                                                                                                                                                        Plan in 2020 is that by 2022 LANDFIRE will be producing an annual update.  This annual update is principally focused on the areas of change/disturbance in vegetation.  This change focus would then involve many of the listed products below.
Reference Public Events Geodatabase
 Public Reference Database
 Forest Vegetation Simulator Ready Database
Disturbance (1999 – 2016 and annual updates up through 2021)   /   Fuel Disturbance
Vegetation Disturbance   /   Vegetation Transition Magnitude
Forest Vegetation Transitions Database   /   Non-Forest Vegetation Transitions Database   /   Forest Vegetation Simulator Disturbance Database
Vegetation Biophysical Settings   /   Environmental Site Potential
Existing Vegetation Cover, Height, and Type   /   Dominant Cover Type
 Attributed data - Crosswalks to Society of American Foresters/Society for Range Management/NVCS &gt; for EVC, EVH, EVT, DCT
Fuel Forest Canopy Bulk Density   /   Forest Canopy Base Height
Forest Canopy Cover   /   Forest Canopy Height
Canadian Forest Fire Danger Rating System
 13 Anderson Fire Behavior Fuel Models
 40 Scott and Burgan Fire Behavior Fuel Models
 Fuel Characteristic Classification System Fuelbeds
 Landscape File   /   Fuel Ruleset Database
 Fire Regimes Fire Regime Groups   /   Mean Fire Return Interval
 Percent Low-Severity Fire   /   Percent Mixed-Severity Fire
 Percent Replacement-Severity Fire   /   Succession Classes
 Vegetation Condition Class   /   Vegetation Departure Index
 Vegetation Dynamics Models
Topographic Aspect   /   Elevation   /   Slope</t>
  </si>
  <si>
    <t>2004 - Wildland Fire Leadership Council (WFLC) Sponsor and signed charter with FAM and OWF.                                                                                                                                                                                     2009 - Federal Land Assistance, Management, and Enhancement (FLAME) Act.
2014 - National Cohesive Wildland Fire Management Strategy 
2018 - Omnibus Act of 2018 – Risk mapping products 
2019 - Dingell Act – Section 1114(e)(1) Wildland Fire Decision Support and Section 1114(h)(1) Post-fire Erosion Database                                                                                                                                                                               2001 - GAO-01-1022T  The National Fire Plan, federal agencies are not organized to effectively and efficiently implement the plan.                                                                                                                                                                                 2002 - GAO-02-259  Leadership and Accountability Needed to Reduce Risks to Communities and Resources                                                                                                                                                                              2002 - GAO-02-158  Improved Planning Will Help Agencies Better Identify Fire-Fighting Preparedness Needs                                                                                                                                                                                     2003 - GAO-03-805   Wildland fire management: Additional actions required to better identify and prioritize lands needing fuels reduction.                                                                                                                                                                      2004 - GAO-04-705   Wildland Fires: Forest Service and BLM Need Better Information and a Systematic Approach for Assessing the Risks of Environmental Effects.                                                                                                                                                                                  2005 - GAO-05-627T Wildland Fire Management: Progress and Future Challenges, Protecting Structures, and Improving Communications.                                                                                                                                                                   2006 - GAO-06-671R  Cohesive Wildland Fire Strategy</t>
  </si>
  <si>
    <t>There is neglible change from the year to year approved FY2020 vs. directed FY2021.  Given management direction with the directed budget; there is a large risk that the remap project may not be fully completed (portions of Alaska, Hawaii, or the Insular Areas) with the deliverables listed below, and contracted staff will be let go.                                                                                                                                                                                                                There is a significant risk that the continued budget reductions that have occured over the past couple of year will result in a difficult transition to the LF update schedule (annual or biennial updates) given contracted staff will not be in place. 
Prior year changes were as follows:
The percent change was higher but past years’ budgets and leadership direction needs to be factored into this understanding. 
Specifically looking at DOI, the budget picture for LANDFIRE was as follows:
FY19 Budget Request: $2,278,000
FY19 Budget Approved: $894,000
Management direction in 2017 and following years within DOI resulted in budget decreases that severely impacted the LANDFIRE program to deliver and resulted in increased costs and extended schedule with remap.  LANDFIRE products are critical to wildland fire management especially in a number of IT applications such as IFTDSS and WFDSS.  In 2017, the approved/funded budget for LANDFIRE in only DOI was $2,164,000.  The total funding went from $3,224,00 in FY17 (both DOI &amp; FS) to $2,433,000 in FY18.  
Past leadership [2013-2015 &gt; DOI – Office of Wildland Fire (OWF) &amp; Interior Fire Executive Council (IFEC) and USDA FS – Fire Aviation Management (FAM) and Sustainable Landscape Management Board of Directors (SLMBOD)] supported the budget increase for the LANDFIRE remap project given the age of the base data and the need to improve the data. 
The requested budget puts the program back at the level which was planned as the remap project was projected to be completed in 2021 and provide funding to transition to an update schedule (either annual or biennial).                                                                                   Given management direction with previous budget reductions, there is a large risk that the remap project may not be fully completed (portions of Alaska, Hawaii, or the Insular Areas) with the deliverables listed below, and contracted staff will be let go.  Direct impacts will be felt in WFDSS, IFTDSS, FMSF, WFIPS, FSIM, etc.                                                                                                                                                                                                                                               There is a significant risk that the continued budget reductions that have occured over the past couple of year will result in a difficult transition to the LF update schedule (annual or biennial updates) given contracted staff will not be in place.  Direct impacts will be felt in WFDSS, IFTDSS, FMSF, WFIPS, FSIM, etc.                                                                                                                                                                 Impact if majority of funding is not received:  
The contracts would be shut down and the program would not be maintained.  Users would have to rely on the last version of LANDFIRE data and then work to provide updates to the data to reflect more current conditions.  This individualized / local approach would create inconsistencies in the data.  Agency Administrators would not have science-based data to support and inform their outcome to impact decisions.  
Specifics if funding is not received:  LANDFIRE has produced over 20 foundational biological and ecological data sets over the last decade.  These data have been updated every other year for areas of change, however vegetation succession/growth has not been addressed and are based 2001 conditions. The remap effort is providing a base foundation “reset” for all vegetation to a 2016 condition with newer remote sensed data, however if budget levels are lower and continue at the directed level; the remap project will not likely be done (even over an expanded schedule).  
•	Loss of regularly updated data for modelling leads to decreased awareness for decision making and allocation of resources for executives as this dataset is foundational to numerous geo-spatial architecture systems for land management agencies and programs.
•	Assessments, analyses, environmental compliance, accountability, and effectiveness will be difficult to accomplish in applications, models, and tools (e.g. WFDSS, IFTDSS, FMSF, WFIPS, FSIM - strategic and tactical decision support) without updated and remapped data. 
•	Cost savings on wildland fire suppression due to modified tactical decisions based upon better informed fire progression and spread predictions using updated and remapped LANDFIRE data.
•	Updated and remapped LANDFIRE data supports Congressional and Government Accountability Office (GAO) direction to produce consistent national inventory data for improving the prioritization of fuel projects, landscape evaluation, planning, monitoring, and reporting.
•	Incorporation of the latest agency and partners’ data (FIA, NRCS-NRI, NASS, FFI, BIA-CFI, BLM-AIM, etc.) will be hampered.  
•	Updated and remapped LANDFIRE data provide great value beyond wildland fire management; e.g. Natural Resources Management, Wildlife Management, research, etc.
•	Updated and remapped LANDFIRE data supports all three national goals of the National Wildland Fire Cohesive Strategy.</t>
  </si>
  <si>
    <t xml:space="preserve">Funding increase would be used to fill in behind DOI budget cuts to LANDFIRE in previous years to ensure adequate funding is available to successfully transition the program and contracted resources for the annual update cycle.  Additional funding would also be used to take the expanded seasonal dynamic products (also known as MoD-FIS; Modeling Fuels with an Index System) work started in FY 2021 and complete it for CONUS in FY 2022.  MoD-FIS accounts for vegetation response to drought or increased moisture and these affects on fuels.  Funding restoration in FY 2021 would continue the programs work on providing the annual update.  Additional funding with the overtarget request would be used to begin planning and prototyping work on a continuous remap/update cycle where both mapping efforts are fully integrated.  </t>
  </si>
  <si>
    <t>Monitoring Trends in Burn Severity  (MTBS)</t>
  </si>
  <si>
    <t>Gov Labor: Rehire Annuitant (Benson), GS14</t>
  </si>
  <si>
    <t xml:space="preserve">Benson will complete transition of business lead responsibilities to NPS in FY22. He'll continue to provide technical expertise in CBI field validation methods and the use of dNBR for burn severity for MTBS and the interagency wildland fire community until his hours as a rehired annuitant run out in FY22. He will also assist with the interagency burn severity portal, migrating CBI data to the portal, and the MTBS website. </t>
  </si>
  <si>
    <t>Gov Agreement: NPS IAA with USGS EROS</t>
  </si>
  <si>
    <t>The MTBS budget is split between suppression and fuels.  Suppression contributes ~70% and fuels contributes ~30% ($102k).  This is collaborative effort between DOI and USFS. Overall program cost has been reduced by 2% as a result of efficiencies from virtualizing the image processing environment for USFS GTAC and USGS EROS and centralizing the MTBS database.  These changes will be fully operation in FY20.</t>
  </si>
  <si>
    <t>Travel for annual MTBS meeting and CBI training.</t>
  </si>
  <si>
    <t>The MTBS budget is split between suppression and fuels.  Suppression contributes ~70% and fuels contributes ~30%.  This is collaborative effort between DOI and USFS.</t>
  </si>
  <si>
    <t>MTBS provides comprehensive and consistent remote sensing-based assessments characterizing the frequency, extent, and severity of documented large fires, regardless of ownership, in the United States, to evaluate trends in burn severity, and to monitor the effectiveness and effects of national fire policy initiatives. For more information on MTBS, go to https://mtbs.gov/.</t>
  </si>
  <si>
    <t>MTBS meets the requirements originally established by the Wildland Fire Leadership Council (WFLC) in 2004 to provide an informational basis for a national analysis of trends in burn severity that monitors the impacts and effectiveness of the National Fire Plan and now, the National Cohesive Wildfire Management Strategy. WFLC recommended leveraging Landsat satellite image data collected from the early 1980s to present, and the fire mapping expertise of the USFS and USGS to: 1) map and assess the environmental impacts of large fires for all lands across the U.S., 2) provide and maintain multi-decadal burn severity data, and 3) develop trends information from these data.  Additionally, MTBS addresses the GAO recommendation to the USFS and DOI to compile comprehensive data that characterize the effects of wildfire on a broad scale (GAO-04-705). The project responds to this by providing an unprecedented multi-decadal dataset that consistently maps and characterizes large fires in the U.S. Currently, the MTBS data record spans the years 1984 through 2019 with over 24,000 fires mapped; MTBS is working to complete the 2020 fires by June of 2022</t>
  </si>
  <si>
    <r>
      <rPr>
        <u/>
        <sz val="9"/>
        <color theme="1"/>
        <rFont val="Arial"/>
        <family val="2"/>
      </rPr>
      <t>Enhancements</t>
    </r>
    <r>
      <rPr>
        <sz val="9"/>
        <color theme="1"/>
        <rFont val="Arial"/>
        <family val="2"/>
      </rPr>
      <t xml:space="preserve">: 1) Complete spatially enabling of Event Tracker Database (ETD) and products; 2) provide each data product through web services to move away from data bundles.
</t>
    </r>
    <r>
      <rPr>
        <u/>
        <sz val="9"/>
        <color theme="1"/>
        <rFont val="Arial"/>
        <family val="2"/>
      </rPr>
      <t>MTBS Operations and Maintenance</t>
    </r>
    <r>
      <rPr>
        <sz val="9"/>
        <color theme="1"/>
        <rFont val="Arial"/>
        <family val="2"/>
      </rPr>
      <t xml:space="preserve">: 1) complete mapping and delivery of year 2020 extended assessment fires; 2) complete mapping of year 2021 initial assessment fires and start mapping year 2021 extended assessment fires; 3) continue data validation and QA/QC on historic fires; 4) continued maintenance and update of MTBS map and web services and continuous improvements to semi-automated data update and delivery mechanisms to support access and use of MTBS data; 5) Separate 2006/2009 Great Plains prairie fires into discreet fires as feasible.  
</t>
    </r>
    <r>
      <rPr>
        <u/>
        <sz val="9"/>
        <color theme="1"/>
        <rFont val="Arial"/>
        <family val="2"/>
      </rPr>
      <t>Knowledge Transfer</t>
    </r>
    <r>
      <rPr>
        <sz val="9"/>
        <color theme="1"/>
        <rFont val="Arial"/>
        <family val="2"/>
      </rPr>
      <t xml:space="preserve">: conduct webinar(s) on the uses and applications of MTBS data.  Provide paper/poster presentations at relevant conferences and technical meetings.
</t>
    </r>
    <r>
      <rPr>
        <u/>
        <sz val="9"/>
        <color theme="1"/>
        <rFont val="Arial"/>
        <family val="2"/>
      </rPr>
      <t>Bureau and Research Support</t>
    </r>
    <r>
      <rPr>
        <sz val="9"/>
        <color theme="1"/>
        <rFont val="Arial"/>
        <family val="2"/>
      </rPr>
      <t>:1) provide limited bureau-specific burn severity mapping support; 2) provide limited burn severity mapping assistance to the research community to support the use of MTBS data (e.g. address RFPs by JFSP, NASA, etc.).</t>
    </r>
  </si>
  <si>
    <t>MTBS data is used by managers and planners in multiple disciplines, such as, forestry, fire, range and wildlife. Federal Law (e.g., NEPA, ESA and NFMA), DOI and USFS agency policy (e.g., the Planning Rule and Shared Stewardship initiative, NPS RM18) and interagency guidance (e.g., Cohesive Strategy) mandate inventory and monitoring programs in order to meet the strategic goals of the USFS and DOI.</t>
  </si>
  <si>
    <t>If MTBS is reduced by 5%, the mapping of 2021 large fires will not be fully completed.  MTBS staff will have to make a determination of which fires not to map. If no funding is received in FY21, MTBS will stop mapping all fires and begin to decommission the MTBS website and data delivery system.  The termination of MTBS will result in: 1) LANDFIRE not having the necessary large fire data to refresh its products; 2) the research communities will no longer be able to do trend analyses and regional and local analyses and comparisons; 3) Field managers will no longer have MTBS products to do pre- and post-fire assessment of wildfire, evaluate prescribed fire treatment effectiveness on the treatment and landscape scale, use MTBS data to monitor treatments, use MTBS data to evaluate wildland fire impacts to T&amp;E species and other species of concern.</t>
  </si>
  <si>
    <t>NFPORS</t>
  </si>
  <si>
    <t>Project Lead:   Jason Fallon / Kristy Swartz / Henry Bastian</t>
  </si>
  <si>
    <t>Gov Labor:  Project Manager</t>
  </si>
  <si>
    <t>Gov Labor:  Detailer to serve as Technical Lead / Product Owner</t>
  </si>
  <si>
    <t xml:space="preserve">Technical individual(s) needed to be the product owner to direct the vendor on the gov. requirements and acceptance of deliverables.  </t>
  </si>
  <si>
    <t>Gov Agreement: RSA - USGS</t>
  </si>
  <si>
    <t>RSA done by OWF as coordinated by lead.  The funding has and will continue to be for NFPORS UseMap functionality to provide for polygon data in NFPORS.  Decrease from 55 to 35 in FY21 and potential for 45 as transition of this functionality becomes part of some nextgen effort.  Assuming nextgen effort gets into place this item may be reduced or removed in the future. This item supports Jodi Riegle's work for NFPORS.</t>
  </si>
  <si>
    <t>Gov Agreement:   OCIO - ISSO Position</t>
  </si>
  <si>
    <t>Gov Agreement: Transfer (FACTS &amp; gPAS support)</t>
  </si>
  <si>
    <t>Assumption there is a funding transfer from the FS.  FAM/OWF Transfer/MOU.  FY19 amount was 115K  FY20 expectation is 115 or more assuming we can work it out with the FS given the integration of NFPORS into IFTDSS.</t>
  </si>
  <si>
    <t>Travel costs</t>
  </si>
  <si>
    <t>Travel and Transportation of Persons (PCS)</t>
  </si>
  <si>
    <t>Other Non-Federal Contractual Services - Cloud/Security</t>
  </si>
  <si>
    <t xml:space="preserve">IBM contract (FFP) for NFPORS cloud costs. Contract ends in FY2021 and as things transition/migrate to SAIC AWS, potentially no funding is needed in FY22 but putting 15k as a place holder in the event an extension is needed.  </t>
  </si>
  <si>
    <t xml:space="preserve">SAIC AWS (T&amp;M) OWF Enterprise/Unified Cloud - NFPORS portion of cloud costs.  Funding in FY2021 to front load this for transition costs from IBM Softlayer to SAIC AWS in FY21 and O&amp;M near end of FY21 or beginning of FY22 to then find the balanced costs.  As nextgen fuels/post fire comes on-line we'll need to transition operations from current NFPORS to nextgen within this environment where we will stand up the new fuel/post fire effort and have it go live and then turn off the old NFPORS. </t>
  </si>
  <si>
    <t>Other Non-Federal Contractual Services: System O&amp;M</t>
  </si>
  <si>
    <t>BAH</t>
  </si>
  <si>
    <t xml:space="preserve">BAH contract (FFP and T&amp;M) in FY21 funded one six month extension to 8/31/2021 in the amount of 80k.  Will be funding second six month extenstion toward end of FY2021 to fund NFPORS from 9/1/2021 to 2/28/22 for approximatly a total of 160k.  For FY2022 estimating costs of 200k for dash8 extension and/or bridge contract to keep current NFPORS operational until nextgen effort is ready and 50k for potential software upgrades needed to keep things operational.  This will likely need to go beyond FY2022 into FY2023 as well.  </t>
  </si>
  <si>
    <t>Other Non-Federal Contractual Services: System DME</t>
  </si>
  <si>
    <t xml:space="preserve">Nextgen fuel/post fire effort [contract or agreement (FFP or T&amp;M?)?], place and firmer estimated costs unknown in spring of FY21.  For FY22, estimating costs of $1,200,000 as potential place holder as something may happen toward the end of the FY2022.  </t>
  </si>
  <si>
    <t>BAH / VMAP</t>
  </si>
  <si>
    <t xml:space="preserve">Estimated costs for fuels DME work associated with connecting BLM VMAP application to NFPORS.  This estimate is based off of the costs experienced with the VMAP ESR work that has been going on for two years. </t>
  </si>
  <si>
    <t>tbd</t>
  </si>
  <si>
    <t xml:space="preserve">Removing funding from sheet but keeping this place holder in for awareness that some funding (estimate 50k to start) will be needed for training users in next generation fuel/post fire application.  FY21 things were not in place and based on current work, FY22 is not likely to be a position for this either, however FY2023 may be a time when this would be needed. </t>
  </si>
  <si>
    <t>Other Non-Federal Contractual Services - Management Reserve</t>
  </si>
  <si>
    <t>Management Reserve - Industry best practices target the amount of 10% to be placed in a project management reserve.  The $75K is less than 10% of the project costs and would be used to mitigate risks and support funding the project.</t>
  </si>
  <si>
    <t>Project Adjustment - Management Adjustment</t>
  </si>
  <si>
    <t>Management Reduction to support alignment with FY20 budget under FY21 CR (4SEP20).  FY 2022 program adjustment to ~ FY 2021 level under CR.  Moved $615K to InFORM for contract support.</t>
  </si>
  <si>
    <t>115K is from FS contributed costs towards NFPORS:   Check with Project Lead before doing FAM/OWF MOU transfer.</t>
  </si>
  <si>
    <t>NFPORS is an internet-based application that collects, creates, and updates planned and accomplished activity and treatment information for fuels management (including fuels treatment polygons), community assistance, and post-fire emergency stabilization and rehabilitation for five federal land management agencies within two Departments. NFPORS is the official System of Record (SOR) for the DOI’s Fuels Management, Emergency Stabilization and Rehabilitation Programs serving as the authoritative data for the department. NFPORS is a critical functionality for Department reporting.</t>
  </si>
  <si>
    <t xml:space="preserve">NFPORS was created through the National Fire Plan to provide documentation of data where known data gaps existed within the Wildland Fire Management Program. Information contained within NFPORS includes: hazardous fuels reduction, burned area rehabilitation, and community assistance activities and treatments.  Additionally, NFPORS capabilities capture data on non-national fire plan vegetation that meet fuels reduction objectives in reducing wildfire risk. NFPORS provides the Department and its agencies with a platform for data entry including geospatial, data archiving for planned, and accomplished reporting in order to accurately and consistently report annual performance measures.                                                                                                                                                                                                           Benefits of NFPORS per the most recent alternatives analysis &amp; benefit costs plan (2019): 
Option one (1) of building a completely new customized IT application based on new technology to meet the specifications and functional requirements outlined in various project documents came in at the highest benefits score and outline the following Pros &amp; Cons.  The custom product would be built by a contracted organization.  
Pros: 
o	Application meets DOI requirements
o	Changes would be made to meet identified DOI needs
o	Would be designed to reflect current and emerging DOI business processes
o	Designed to meet DOI architecture and security requirements
o	Designed as one application, integrated with other nationally-consistent and associated systems (e.g. budget and finance, planning, risk management, decision support)
o	Would be part of “Cloud First Initiative”
o	DOI owns it
Cons:
o	Huge design and development costs
o	A likely two-year (or greater) effort to build and roll out for replacement of the old application.  This would require continued support (additional costs) to existing (NFPORS) application to meet user needs while the new application is built.
o	Capital planning process would cause significant delays and additional costs
o	Reaching consensus amongst partners could be problematic on some components of the application.
In addition to the benefits score and pros/cons the following requirements identified these benefits. 
• Data sharing: Sharing of data electronically and in real time.   
• Automation: Allows for a fully-automated activity entry, management, and reporting.
• Mandates: Meets the mandates and requirements outlined by the federal government (i.e. performance measures, decision support, program accountability).
-	PMs: In DOI Strategic Plan 14-18 Goal 1, Strategy 3, 
-	PM#1:  “Percent of DOI-managed landscape acres that are in a desired condition as a result of fire management objectives”. 
-	PM#2: “Percent of DOI-managed treatments that reduce risk to communities that have a wildland fire mitigation plan”.
-	Also numerous sub-PMs. 
• Privacy Act: Fully meets Privacy Act and additional requirements outlined by NIST.  
• Modularity: Open architecture using current technology and best practices.
• Consistency: Unified reporting across the DOI.
• Efficiency: Streamlines business processes while maintaining the unique qualities and requirements of the department and each bureau.
• Support: Program is fully supported by OMB and DOI.
• Time Resources: How much time it will take to get the new product online and managing the Program.
• Maintainability: The level of maintenance expected into the future of the product.                                                                                                                                                                                                                      Current deliverables include data, dashboards, and reports on fuels reduction, emergency stabilization efforts, burned area rehabilitation, and community assistance activities and treatments as well as non-national fire plan vegetation and fuels related activities. NFPORS provides data archives on planning, tracking, and reporting accomplishments including polygons for accomplished fuels management and burned area rehabilitation treatments.  NFPORS provides the most accurate and consistent data to report annual performance measures for the DOI Strategic Plan and other performance metrics.       </t>
  </si>
  <si>
    <t xml:space="preserve">The budget increase in the 'target request' would support the recompeted contract that is planned to be done in FY2020.  Given cost uncertainty, costs are likely to be higher especially for the first year(s) of the contract.  The following are the types of deliverables that increased funding would support:
1.	FTEM improvements.
2.	Development work in IFTDSS for the planning cycle with additional workflows leveraging added tools/models/data (e.g. smoke management) monitoring &amp; reporting (comparisons) functionality, Group Workspaces, and Burn Plan Template (Complexity Analysis).   
3.	User training support.                                                                                                                                                                                                              4.             Standard planning framework for fuels management projects (treatment) 
5.             Risk Assessment Workflow Implementation for standardized work across agencies.                                            
6.             Perform analyses and assessments for use in the decision-making process.                                                                                                                                                                                                            7.             Modeled Analyses on fuel treatment effectiveness going beyond the simple yes or no that the treatment was effective.                                                                                   
8.             Finish development on Prescribed Burn planning functionality with complexity analysis toward final plans and reports.  </t>
  </si>
  <si>
    <t xml:space="preserve">2015 GAO-16-217T Agencies' Efforts to Assess Program Effectiveness                                                                                                                                                                           2014 in connection with IFTDSS with the 2014 National Cohesive Wildland Fire Management Strategy.                                                                                                                                                                                2013 GAO-13-684 Improvements Needed in Information, Collaboratoin, and Planning                                                                                               
2007 GAO-07-1168 Better Information and a Systematic Process                                                                                                                                                                                  2003 GAO-03-1047 Technologies Hold Promise for Wildland Fire Management, but Challenges Remain                                                                                                                                                                    Congressionally mandated requirement for accountability in the National Fire Plan (Keypoint 5).  The Healthy Forests Initiative (or HFI) and the Healthy Forests Restoration Act of 2003 (P.L. 108-148) 
</t>
  </si>
  <si>
    <t>Impact if majority of funding is not received:  
The contracts would be shut down and the system would no longer be maintained.  If cloud contract funding were not available, the system would not be accessible.  Executives and Agency Administrators would not have data to support performance measures and various inquires.  
Specifics if funding is not received:  As funding decreased this could likely cause data gaps regarding fuels management, community assistance, and burned area rehabilitation activities.  Although NFPORS is the best we have today, the next generation replacement would improve data quality and confidence in reporting.  Continuing to work with an old application puts DOI in a perilous situation for future data needs. DOI would not have data and information available for tracking and reporting planned and actual accomplishments.  NFPORS is the official data source and is the most accurate and consistent data to report annual performance measures for the DOI Strategic Plan and other performance metrics.</t>
  </si>
  <si>
    <t xml:space="preserve">Planned amount is what we have for exisiting contracts.  The increase is for the Next Generation NFPORS options that are in evaluation.  It all depends on what management decides in FY2020 and FY2021 about what FY2022 will look like and what funding will be needed. These are rough estimates.                                                                                                                                                                                   WFM Benefits relative to the Next Generation NFPORS business communities requirements include:  Is Geospatial based for both planned &amp; completed treatments/activities (Fuel treatments, maintenance, restoration, rehabilitation, community). 
Contributes to a broader planning system with data connection or integration where analysis, monitoring, and evaluation data feeds into risk systems/assessments in support of the mitigation of wildfire risks
Provides a structured process for inputs and outputs that contributes and supports outcomes and impacts.
Provides information on the range of planning options with connections to financial data, historical data, data cache, and upward reporting
Provides consistent information across USDA FS, US DOI Bureaus, and States </t>
  </si>
  <si>
    <t>Budget Leads:  Robyn Post</t>
  </si>
  <si>
    <t>FY 21:  O&amp;M Support - $12k; A&amp;A 15k; DME - 40k to move off of ColdFusion. FY 22: O&amp;M Support - $12k; A&amp;A 15k</t>
  </si>
  <si>
    <t>Provides a secure venue for firefighters to report unsafe acts relating to firefighter safety.</t>
  </si>
  <si>
    <t>The information collected is used to determine long-term trends and problem areas within the wildland fire industry. Used by wildland firefighting agencies for reporting and resolving incidents related to firefighter safety.  The existing Cold Fusion platform will not be supported in the future by DOI.</t>
  </si>
  <si>
    <t>An additional $40k in funding was requested for FY19 for planned development, modification and enhancements related to end of life support for ColdFusion; this was not received in FY20 and remains a priority.  Addition of $2k from FY19 reflects planned 3% increase in all costs, and additional $5k for increased Java licensing costs.</t>
  </si>
  <si>
    <t>Fire business community</t>
  </si>
  <si>
    <t xml:space="preserve">Briefly explain what tradeoffs would be made if funding level is not received at the requested level. At minimum, present options at FY 2020 straight-line and 5% reduction level from request.  </t>
  </si>
  <si>
    <t xml:space="preserve">The application should be developed on a new platform by 2022 and be in the O&amp;M phase.  </t>
  </si>
  <si>
    <t>WFDSS  -  DOI Contribution</t>
  </si>
  <si>
    <t>Project Lead: Jaymee Fotjik, OWF</t>
  </si>
  <si>
    <t>Business Lead: Andrew TBD - OWF</t>
  </si>
  <si>
    <t>Gov Labor:  Project Management GS-14/8</t>
  </si>
  <si>
    <t>Salary - 3  PP WFDSS; 23 PP CAD</t>
  </si>
  <si>
    <t>Gov Labor:  Project Management</t>
  </si>
  <si>
    <t>Vice Green (50% to WFDSS and 50% to FireNet)</t>
  </si>
  <si>
    <t>Gov Labor:  WFDSS DOI Business Lead GS-12/5</t>
  </si>
  <si>
    <t>Salary - 26 PP @ GS-12/5; may be filled at a GS-13 grade -- TBD Bureau</t>
  </si>
  <si>
    <t>Gov Labor:  WFDSS Data Manager GS-12/6</t>
  </si>
  <si>
    <t>Gov Labor:  Summer detailers in bureaus</t>
  </si>
  <si>
    <t>Summer Detailers in support of analysis during Fire Season</t>
  </si>
  <si>
    <t>Bailey and Detailers</t>
  </si>
  <si>
    <t>Communications needs/requirements</t>
  </si>
  <si>
    <t>Contract:  Steady State O&amp;M</t>
  </si>
  <si>
    <t>Gov Agreement:  Cadastral Data</t>
  </si>
  <si>
    <t>Data Improvement and Processing</t>
  </si>
  <si>
    <t>Contract:  Independent Review</t>
  </si>
  <si>
    <t>EAS (USDA)</t>
  </si>
  <si>
    <t>WFDSS Next Gen under contract with EAS (USDA) and contributed cost to FMSF (fire modeling services framework)</t>
  </si>
  <si>
    <t>Covers Materials required such as room rentals, notes, web support, etc.</t>
  </si>
  <si>
    <t>Update team members computers, phones, tablets, etc.</t>
  </si>
  <si>
    <t>FY 2021 reduction due to adjustment to WFDSS agreed funding level under CR.  Adjust cost estimate for PM included for FY 2022; previously vice Green in Base budget.</t>
  </si>
  <si>
    <t xml:space="preserve">Carryover from FY 2020 ($20K) and FY 2021 ($7K) held in Parent account.  </t>
  </si>
  <si>
    <t>WFDSS is a national interagency system that assists fire managers and analysts in making and documenting strategic and tactical decisions for fire incidents.</t>
  </si>
  <si>
    <t xml:space="preserve">WFDSS is a national interagency system that assists fire managers and analysts in making and documenting strategic and tactical decisions for fire incidents. It has replaced the WFSA (Wildland Fire Situation Analysis), Wildland Fire Implementation Plan (WFIP), and Long-Term Implementation Plan (LTIP) processes with a single process that is easier to use, more intuitive, linear, scalable and progressively responsive to changing fire complexity. </t>
  </si>
  <si>
    <t>Make the application more intuitive, linear, scalable, easier to use and progressively responsive to changing fire complexity. Promotes compliance with the requirements of the Dingell Act.</t>
  </si>
  <si>
    <t>Provide support for WFDSS rebuild to include requirements outlined in the Dingell Act.  Support the move of the models to the IFTDSS fire modelling framework to support User Requested and CCB approved changes while remaining current in the WFIT Data Exchange Environment.  Enhance data used in WFDSS for analysis i.e. improve cadastral data, and data processing procedures and processes; The Target amount of funding allows for a WFDSS contribution to the Fire Modeling Services Framework effort in support of feeding the WFDSS algorithms for analysis. This budget supports funding a DOI business lead to support WFDSS full time.  This position is planned to be hired at a GS-12 or 13 grade.</t>
  </si>
  <si>
    <t>WFIT Data Management Program</t>
  </si>
  <si>
    <t>Project Lead: Roshelle Pederson</t>
  </si>
  <si>
    <t>Budget Lead:  Chris Markle</t>
  </si>
  <si>
    <t>Gov Labor:  Chief Data Officer  GS-343-14</t>
  </si>
  <si>
    <t>Roshelle Pederson</t>
  </si>
  <si>
    <t>Included in WFIT Staff &amp; Services Tab</t>
  </si>
  <si>
    <t xml:space="preserve">Gov Labor:  Data Management Spec - Operations  GS-343-13 </t>
  </si>
  <si>
    <t xml:space="preserve">Gov Labor:  Data Management Spec - Technology GS-343-13 </t>
  </si>
  <si>
    <t xml:space="preserve">Gov Labor:  Data Management Spec - Knowledge  GS-343-13 </t>
  </si>
  <si>
    <t>Gov Agreement:  Web/Social Media Support</t>
  </si>
  <si>
    <t>Annual WF Data Management Meeting</t>
  </si>
  <si>
    <t>This will transition to a Data Governance Board that will include interagency business and technology members in accordance with the Evidence Act.</t>
  </si>
  <si>
    <t>Business Analyst Contract</t>
  </si>
  <si>
    <t>Contract Data Management Support (Project mgmt, standards,etc)</t>
  </si>
  <si>
    <t>Licences - Ontology and Workflow Management Tools</t>
  </si>
  <si>
    <t>Maintain FY 2020 funding level.  FY 2022 adjustment to Prep to PB level under CR.</t>
  </si>
  <si>
    <t>Emergent Issues Funding</t>
  </si>
  <si>
    <t>FY 22</t>
  </si>
  <si>
    <t>FS Allocation of Program Funds (1/2 Emergent Issues Funding)</t>
  </si>
  <si>
    <t>Check with lead before budget transfers with FS.</t>
  </si>
  <si>
    <t>Less C/O</t>
  </si>
  <si>
    <t>FY 21</t>
  </si>
  <si>
    <t xml:space="preserve">  The WF Data Management Program will provide national, interagency services, support and governance related to wildland fire data, information and knowledge.  An interagency, enterprise level approach will support the technical implementation of the Interagency Fire Data Cache and ensure our wildland fire data meets OMB requirements for open data.  This program will ensure our data is ready for "Big Data" analytics and machine understanding that will provide new insights and streamline access to information across agency and business areas.
Data management has existed within the NWCG committee environment but recent legislation requires effort and management that exceed the NWCG scope.  While the NWCG Data Management Committee has been successful in promoting an understanding and support for data management, that success has been slow to generate tangible results due to the collateral duty model of NWCG.  Implementing an interagency data management organization will focus the efforts of a few key people to generate processes and tools that will streamline new and existing IT applications and lower IT project costs and provide quick, reliable access to authoritative data for decision makers, analysts, planners and the public.
</t>
  </si>
  <si>
    <t>To achieve the WFIT goal of a "Data Driven" enterprise, data must be managed.  Transitioning to a formal data management organization will accelerate development and maintenance of foundational data catalogs, standards and processes that will streamline access to data for analysis, decision making, and evaluations.  The data management program will be the cornerstone of an information environment that is proactive rather than reactionary.  Well defined data and managed tools to access it will reduce the data compolation and cleaning exercises required for any analysis today.  The business community completed a requirements analysis for the Interagency Data Cache in 2017.  The Data Cache report identified ten goals the community had for the Data Cache - eight of those goals require focused effort to define and manage before modernized technology can be applied.  
1) Identification of Authoritative Data Sources - Starts with OMB requirement for an inventory of all federal data assets (Evident Act)
2) Enterprise wide QA/QC of the Data - Ensures the best information is available and documents said quality (Information Quality Act)
3) Migrate Historical/Legacy Data - Prioritize and prune historical data for consolidation in modernized IT environments
4) Operational Data Capabilities - Ensures operational decision and reporting needs are met
5) Historical Data Access - Ensures historical data is structured, documented and available for analysis and modeling
6) Reference Data Capabilties - Ensures authoritative data, reduces redundant data management efforts and individual project DME/O&amp;M efforts
7) Document Management Capabilities - Provides interagency access to documents that currently are not readily accessible to the community
8) Business Intelligence Capabilities - Provides reports, dashboards and services to exercise data across all business areas and agencies
As technology transitions, the data management program will continue to ensure the data and information is FAIR (findable, accessible, interoperable, and reusable) and supports the Wildland Fire mission from the department level to the field.</t>
  </si>
  <si>
    <t>This request would formalze a program that doesn't currently exist except for the Chief Data Officer position.  Given the level of funding available, filling positions would be prioritized based on WFIT EB and fire leadership priorities.  Because this is new, the primary requirement of our project plan is to be flexible and responsive as leadership determines how to support this request.</t>
  </si>
  <si>
    <t>H.R..4174, P.L. 115-435 Foundations for Evidence-Based Policymaking Act of 2018
H.R.302, P.L. 115-254 Geospatial Data Act of 2018
H.R. 1770 OPEN Government Data Act (Open, Public, Electronic, &amp; Necessary)
P.L. 116-9 John D. Dingell, Jr Conservatioon, Mangement and Recreation Act
OMB M-19-15 Improving Implementation of the Information Quality Act
Federal Data Strategy 2020 Action Plan</t>
  </si>
  <si>
    <t>If this request is not funded, meaning the CDO position continues to be the only full time resource dedicated to enterprise, interagency data management, the wildland fire community will continue to make slow progress toward a FAIR, reliable data environment.  Without dedicated resources, the likely scenario is that limited progress will be made until an IT project is implemented for the Interagency Data Cache.  With this approach, funding is likely two years out and the first year or more would be focused on doing the work of a data management program.  The IRWIN project has proven that the community eventually revolts against a project driving enterprise requirements.  Also, projects have life expectancies and data management is ongoing, always responding to evolving business and technology needs.</t>
  </si>
  <si>
    <t>If this request were funded by over 10%, the additional funding would be used to speed the data inventory and help IT Project Teams plan for the transition of independent data management activities to enterprise data management.</t>
  </si>
  <si>
    <t>WFIT Services and Staff</t>
  </si>
  <si>
    <t>Project Lead: Chris Markle</t>
  </si>
  <si>
    <t>Budget Leads:</t>
  </si>
  <si>
    <t>Personnel</t>
  </si>
  <si>
    <t>Gov Labor:  WFIT Program Manager</t>
  </si>
  <si>
    <t>Manthei</t>
  </si>
  <si>
    <t>Split 50/50 with Forest Service</t>
  </si>
  <si>
    <t>Gov Labor:  WFIT Business Systems Architect</t>
  </si>
  <si>
    <t>Markle</t>
  </si>
  <si>
    <t>Gov Labor:  WFIT Data Integration Architect</t>
  </si>
  <si>
    <t>Pederson</t>
  </si>
  <si>
    <t>Gov Labor:  WFIT Personnel Development Lead</t>
  </si>
  <si>
    <t>Gividen</t>
  </si>
  <si>
    <t>111/115</t>
  </si>
  <si>
    <t>Agreements</t>
  </si>
  <si>
    <t>Agrmt</t>
  </si>
  <si>
    <t>Operational:  Travel Government FTE</t>
  </si>
  <si>
    <t>Operational: Training Government FTE</t>
  </si>
  <si>
    <t>Operational:  Transfer of Station</t>
  </si>
  <si>
    <t xml:space="preserve">Vendor Provided Services: LOB Support Data Modeler </t>
  </si>
  <si>
    <t xml:space="preserve">Vendor Provided Services: LOB Support Business Process Modeler </t>
  </si>
  <si>
    <t xml:space="preserve">Vendor Provided Services: LOB Support Busines Process Architect </t>
  </si>
  <si>
    <t>Vendor Provided Services: LOB Support FS Project Support (Portfolio)</t>
  </si>
  <si>
    <t>Vendor Provided Services: Reduction</t>
  </si>
  <si>
    <t>Operational: Professional Services Contract</t>
  </si>
  <si>
    <t xml:space="preserve">Operational:  </t>
  </si>
  <si>
    <t xml:space="preserve">DOI share </t>
  </si>
  <si>
    <t>With OAS Staff</t>
  </si>
  <si>
    <t>Preparedness  (66%)</t>
  </si>
  <si>
    <t>Fuels   (34%)</t>
  </si>
  <si>
    <t>FS Funding level based on FY 2019 contribution</t>
  </si>
  <si>
    <t>Project Lead:  John Noneman</t>
  </si>
  <si>
    <t>Budget Lead:  Robyn Post</t>
  </si>
  <si>
    <t>Legacy data hosting until Data Cache/ INFORM</t>
  </si>
  <si>
    <t>Continue as Historical Fire Reporting module and the system of record for the fire occurrence data for the BIA, the BLM, and BOR and the National Park Service.</t>
  </si>
  <si>
    <t>The WFMI Historical Fire Reporting module is the system of record for the fire occurrence data for the BIA, the BLM, and BOR and the National Park Service.</t>
  </si>
  <si>
    <t xml:space="preserve">Until Data Cache completed, funds provided would allow for development, modification and enhancement for stabilization of WFMI – Historical Fire Reporting.  It will also ensure that historical data is migrated into/from the new system to ensure accurate reporting of fire history.  </t>
  </si>
  <si>
    <t>Fire business requirement; congressional</t>
  </si>
  <si>
    <t>The system is very important to the incident response for wildland fire.  If funding weren’t provided, then resource allocation, funding distribution and other critical wildland fire response activities could be significantly impacted.</t>
  </si>
  <si>
    <t>Budget Lead:   Robyn Post</t>
  </si>
  <si>
    <t>Gov Agreement:  FS-RSAC - Lightning</t>
  </si>
  <si>
    <t>EGP Service Hosting (current/historic)</t>
  </si>
  <si>
    <t>FY 21: 17k ITOSS; 6k A&amp;A; 55k O&amp;M  and Perfective Maintenance. FY 22: 18k ITOSS; 7k A&amp;A; 58k O&amp;M  and Perfective Maintenance</t>
  </si>
  <si>
    <t>Server Maintenance</t>
  </si>
  <si>
    <t>WFMI Lightning Application is an interactive lightning strike application designed to support wildland fire organizations with near-real-time lightning data.</t>
  </si>
  <si>
    <t>WFMI Lightning Application is an interactive lightning strike application designed to support wildland fire organizations with near-real-time lightning data. EGP provides display capability for fire community.</t>
  </si>
  <si>
    <t>Operations and Maintenance (O&amp;M) activities.  Enhancement of export capability interface (Lightning as a service) and stabilization for data continues in WFMI – Lightning.</t>
  </si>
  <si>
    <t>Fire business requirement</t>
  </si>
  <si>
    <t>Funding will continue use of FS Enterprise Geospatial Portal (EGP) to display and store lightning data.  This improves customer service by moving more services to single locations rather than multiple locations that require the wildland fire community to login to separate applications.</t>
  </si>
  <si>
    <t>Project Lead:   John Noneman</t>
  </si>
  <si>
    <t>O&amp;M; development and support of the REST Services</t>
  </si>
  <si>
    <t>Oracle licenses (Apex)</t>
  </si>
  <si>
    <t>Continue providing Unit Identifiers to all partners/systems as the system of record for the NWCG unit identifiers, which are the codes that are used to uniquely identify the organizational units within the federal and state government that are involved in wildland fire management.</t>
  </si>
  <si>
    <t>The Unit Identifiers module is the system of record for the NWCG unit identifiers, which are the codes that are used to uniquely identify the organizational units within the federal and state government that are involved in wildland fire management.</t>
  </si>
  <si>
    <t>The Unit ID module is operational to meet the needs of the fire community.  Needs met include application updates and maintenance, system maintenance, Help Desk support, and software/hardware licensing and maintenance.</t>
  </si>
  <si>
    <r>
      <t xml:space="preserve">FY 2021: 18k ITOSS; 6k A&amp;A; 37k weather station maintenance interface;Continued stabilization - 150k  FY 2022: 18k ITOSS; 6k A&amp;A; 37k weather station maintenance interface. </t>
    </r>
    <r>
      <rPr>
        <sz val="11"/>
        <color rgb="FFFF0000"/>
        <rFont val="Calibri"/>
        <family val="2"/>
        <scheme val="minor"/>
      </rPr>
      <t xml:space="preserve"> *** actual FY 21 funding was 211 but we traded 125K to use NexGen FS agreememt- see comment below --  FY 2022: 20K ITOSS; 8K A&amp;A; 39K weather station maintenance interface Continued WFMI stabilization - 150K</t>
    </r>
  </si>
  <si>
    <t>Hosting Contract In support of NextGen Weather</t>
  </si>
  <si>
    <t>Hardware &amp; software maintenance; Oracle licensing</t>
  </si>
  <si>
    <t xml:space="preserve"> FireContinue providing weather observation support for wildland fire organizations with information from RAWS stations throughout the US.  It also provides seasonal maintenance of weather station sensors.</t>
  </si>
  <si>
    <t xml:space="preserve">The Fire Weather module downloads and distributes near-real-time weather observations and station descriptions from RAWS stations to downstream clients for use by the fire suppression community.  </t>
  </si>
  <si>
    <t>Develop and implement a stabilized system for the existing WFMI portal until enterprise effort for new vision is implemented.</t>
  </si>
  <si>
    <t>The existing weather platform must be stabilized.  Additionally, the next generation weather will enhance the ability of the interagency customers to access the weather data needed for the wildland fire response.  Requested enhancements by the community will not be included without the additional funding and the existing weather application will have a significant risk of failure without the platform upgrades.</t>
  </si>
  <si>
    <t>Carryover from FY 2021 held in Parent account.</t>
  </si>
  <si>
    <r>
      <t xml:space="preserve">Development and maintenance of DOI wildland fire Stratified Cost Index model; delivery of model coefficients to WFDSS for wildfire incident decision support; outlier analyses required for annual DOI supplemental performance reporting.  </t>
    </r>
    <r>
      <rPr>
        <sz val="11"/>
        <color rgb="FFFF0000"/>
        <rFont val="Calibri"/>
        <family val="2"/>
        <scheme val="minor"/>
      </rPr>
      <t>SCI no longer funded.</t>
    </r>
    <r>
      <rPr>
        <sz val="11"/>
        <color theme="1"/>
        <rFont val="Calibri"/>
        <family val="2"/>
        <scheme val="minor"/>
      </rPr>
      <t xml:space="preserve">
POC: Russ Johnson</t>
    </r>
  </si>
  <si>
    <t>Update DOI Prep to remove SCI funding and record $30K OWF carryover. Update WFIT Data Mgmt including Emergent Issues Funding and FS transfer needs</t>
  </si>
  <si>
    <t>Katie Hansen (NPS)</t>
  </si>
  <si>
    <t>Abby Childs (NPS)</t>
  </si>
  <si>
    <t>Update FTE on AGOL tab and correct funding amount on Fuels Agreements information related to Prescribed Fire Review funding.</t>
  </si>
  <si>
    <t>Record BIA Suppression transfer ($10M)</t>
  </si>
  <si>
    <t>Record BIA Suppression transfer ($5M) and BLM Suppression transfer ($10M)</t>
  </si>
  <si>
    <t>Update BIL funding levels based on updated apportionment request</t>
  </si>
  <si>
    <t>Total DOI with Supp</t>
  </si>
  <si>
    <t>Total FireNet Licensing Cost</t>
  </si>
  <si>
    <t>Phone System GCC (250 @ $76/user)</t>
  </si>
  <si>
    <t>Microsoft O365 Power Pro User (100 @ $96/user per year)</t>
  </si>
  <si>
    <t>Record OWF Suppression transfer for FireNET Licensing SLA funding</t>
  </si>
  <si>
    <t>SaaS Microsoft Office 365 Licenses GCC licenses and active directory for FireNet environment. 4,500 licenses estimated at BLM - 555; NPS - 200; FWS - 110; BIA - 60; and FS/Affiliate - 3575, each at a avg cost of $180/license, which includes MS Office 365 environment license</t>
  </si>
  <si>
    <t>SaaS Microsoft Office 365 Licenses GCC licenses and active directory for FireNet environment. 4,500 licenses estimated at BLM - 555; NPS - 200; FWS - 110; BIA - 60; and FS/Affiliate - 3575, each at a avg cost of $58/license, which is a required Active Directory security license to accompany the MSO 365 license</t>
  </si>
  <si>
    <t>Audio Conf Calling GCC (200 @ $42 per user</t>
  </si>
  <si>
    <t>Domestic Calling PGCC (250 @ $127 per user)</t>
  </si>
  <si>
    <r>
      <t xml:space="preserve">SUPPRESSION </t>
    </r>
    <r>
      <rPr>
        <sz val="11"/>
        <rFont val="Calibri"/>
        <family val="2"/>
      </rPr>
      <t xml:space="preserve">SaaS Microsoft Office 365 Licenses GCC licenses for FireNet environment. 2,500 licenses estimated for seasonal wildland fire operators directly supporting suppression activities, each at a avg cost of $282/license (includes MSO 365 and Azure AD).  </t>
    </r>
    <r>
      <rPr>
        <sz val="11"/>
        <color rgb="FFFF0000"/>
        <rFont val="Calibri"/>
        <family val="2"/>
      </rPr>
      <t xml:space="preserve">Updated 2/14/22 to include Training (QuickHelp) subscription for primarily AD "affiliate" licensed users. </t>
    </r>
    <r>
      <rPr>
        <sz val="11"/>
        <rFont val="Calibri"/>
        <family val="2"/>
      </rPr>
      <t xml:space="preserve"> </t>
    </r>
    <r>
      <rPr>
        <sz val="11"/>
        <color rgb="FFFF0000"/>
        <rFont val="Calibri"/>
        <family val="2"/>
      </rPr>
      <t>Not included in total project sheet cost for DOI allocation purposes.</t>
    </r>
  </si>
  <si>
    <t>Update FireNET Licensing SLA project sheet for updated contract cost and allocation and update FY 2021 FTE to Actual</t>
  </si>
  <si>
    <t>Record BIA Suppression transfer ($4M)</t>
  </si>
  <si>
    <t>3rd CR Funding</t>
  </si>
  <si>
    <t>Record CR3 funding level and allocation amounts</t>
  </si>
  <si>
    <t>3rd CR Transfer</t>
  </si>
  <si>
    <t>Record BIA Suppression transfer ($7M)</t>
  </si>
  <si>
    <t>Salary - 26 PP.  Position transferred to NPS from OWF and increased from $134K to $151K.  Moved to WFMRD&amp;A in FY 2023 with other NPS funded WFDSS positions for consistency.</t>
  </si>
  <si>
    <t>Realign NPS WFDSS position from WFDSS to WFMRD&amp;A for consistency with other NPS WFMRD&amp;A positions.</t>
  </si>
  <si>
    <t>Approved at Department level for acquisition of burn severity satellite imagery. Agreement managed by NPS.  Increased funding by $52K for capacity increase at EROS to support the BAR Program and support BARC/RAVG mapping for state/local/tribal fires.</t>
  </si>
  <si>
    <t>Update BAR funding request for USGS EROS by $52K.</t>
  </si>
  <si>
    <t>3rd CR transfer - Additional Suppression allocation</t>
  </si>
  <si>
    <t>4th CR and 30-Day Authority transfer level</t>
  </si>
  <si>
    <t>4th CR Funding and 30-Day Authority Level</t>
  </si>
  <si>
    <t>4th CR Funding and 30-Day Authority Transfer</t>
  </si>
  <si>
    <t>Supplemental Funding (Disaster Relief and BIL)</t>
  </si>
  <si>
    <t>Transfers to date</t>
  </si>
  <si>
    <t>Record CR4 and 30-Day Initial Authority level and allocation amounts</t>
  </si>
  <si>
    <t>Adjust BAR travel from BLM to OWF ($2K) per BLM request</t>
  </si>
  <si>
    <t>30-Day Authority transfer level</t>
  </si>
  <si>
    <t>2nd 30-Day Authority Level</t>
  </si>
  <si>
    <t>2nd 30-Day Authority Transfer</t>
  </si>
  <si>
    <t>Agreement with FS expired.  FS will cover cost in FY22; the $25k will be used to cover other items that have been paid for by FS in the past</t>
  </si>
  <si>
    <t>Podcast production; GPO printing and distribution of Learning on the Wildland Fire Service and 20 year anniversary materials</t>
  </si>
  <si>
    <t>Firefighter Compensation</t>
  </si>
  <si>
    <t>Calculated/FINAL</t>
  </si>
  <si>
    <t>Adjust for CR level</t>
  </si>
  <si>
    <t>Omni Level</t>
  </si>
  <si>
    <t>BAR project funds. Based on FY 22 Department approved allocation formula</t>
  </si>
  <si>
    <t>FY 2022 split updated for project funding based on direct available</t>
  </si>
  <si>
    <t>FY 2022 CR adjust</t>
  </si>
  <si>
    <t>FY 2022 Omni</t>
  </si>
  <si>
    <t>New hosting contract in FY 2022</t>
  </si>
  <si>
    <t>Record 2nd 30-Day allocation level</t>
  </si>
  <si>
    <t xml:space="preserve">Record Omnibus funding </t>
  </si>
  <si>
    <t>Actual FY 2022 Allocation</t>
  </si>
  <si>
    <t>Fuels special projects carryover used for funding FCG IAA Initiative in FY 2022</t>
  </si>
  <si>
    <t>Update Carryover Funding applied from Fuels Special Projects to fund special workforce initiative</t>
  </si>
  <si>
    <t>Allocate Workforce funding ($15M) based on FTE to include Federal and Tribal preparedness</t>
  </si>
  <si>
    <t>Workforce Transformation/Firefighter Compensation</t>
  </si>
  <si>
    <t>FY2021 FTE Preparedness with Tribal FTE</t>
  </si>
  <si>
    <t>2022 Workforce/Compensation</t>
  </si>
  <si>
    <t>FY 2022 funding reduced from $1.1M per project lead 4/21/22</t>
  </si>
  <si>
    <t>Management Reduction to support alignment with FY20 budget under FY21 CR (4SEP20).  FY 2022 program adjustment to ~ FY 2021 level under CR.  FS funding reduction per FAM.</t>
  </si>
  <si>
    <t>FY 2022 funding increased from $900K per project lead 4/21/22</t>
  </si>
  <si>
    <t>Management Reduction to support alignment with FY20 budget under FY21 CR (4SEP20).  FY 2022 program adjustment to ~ FY 2021 level under CR.  FS funding increase from FAM.</t>
  </si>
  <si>
    <t>Full Year Omni Allocation</t>
  </si>
  <si>
    <t>Adjust BIA ($2,324K), BLM ($5,304), and NPS ($901K) BAR allocation to Parent reflecting projects included in NFPORS/VMAP</t>
  </si>
  <si>
    <t>Full year Enacted funding with BAR</t>
  </si>
  <si>
    <t>FS funding to be provided through an IAA.  No SLA project funding required.</t>
  </si>
  <si>
    <t>FS funding to be provided through direct IAA in FY 2022.</t>
  </si>
  <si>
    <t>FS funding to be provided through an IAA.  No FireNET project funding required.</t>
  </si>
  <si>
    <t>Funding includes FAM IT Power Apps ($30K).  Funding to be provided through direct IAA in FY 2022.</t>
  </si>
  <si>
    <t>Adjust FS project funding contribution for LANDFIRE and IFTDSS, and type of funding for FireNET SLA and FireNET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</si>
</sst>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_(* #,##0.00_);_(* \(#,##0.00\);_(* \-??_);_(@_)"/>
    <numFmt numFmtId="169" formatCode="_(\$* #,##0.00_);_(\$* \(#,##0.00\);_(\$* \-??_);_(@_)"/>
    <numFmt numFmtId="170" formatCode="_(* #,##0.0_);_(* \(#,##0.0\);_(* &quot;-&quot;??_);_(@_)"/>
    <numFmt numFmtId="171" formatCode="0.000"/>
    <numFmt numFmtId="172" formatCode="_(* #,##0.0000_);_(* \(#,##0.0000\);_(* &quot;-&quot;??_);_(@_)"/>
    <numFmt numFmtId="173" formatCode="_(&quot;$&quot;* #,##0.0_);_(&quot;$&quot;* \(#,##0.0\);_(&quot;$&quot;* &quot;-&quot;_);_(@_)"/>
  </numFmts>
  <fonts count="92">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b/>
      <sz val="11"/>
      <name val="Arial"/>
      <family val="2"/>
    </font>
    <font>
      <sz val="11"/>
      <name val="Arial"/>
      <family val="2"/>
    </font>
    <font>
      <sz val="11"/>
      <name val="Calibri"/>
      <family val="2"/>
      <scheme val="minor"/>
    </font>
    <font>
      <b/>
      <i/>
      <sz val="11"/>
      <name val="Arial"/>
      <family val="2"/>
    </font>
    <font>
      <i/>
      <sz val="11"/>
      <color theme="1"/>
      <name val="Calibri"/>
      <family val="2"/>
      <scheme val="minor"/>
    </font>
    <font>
      <b/>
      <i/>
      <sz val="11"/>
      <color theme="1"/>
      <name val="Calibri"/>
      <family val="2"/>
      <scheme val="minor"/>
    </font>
    <font>
      <sz val="11"/>
      <color rgb="FFFF0000"/>
      <name val="Calibri"/>
      <family val="2"/>
      <scheme val="minor"/>
    </font>
    <font>
      <sz val="10"/>
      <color theme="1"/>
      <name val="Arial"/>
      <family val="2"/>
    </font>
    <font>
      <b/>
      <i/>
      <sz val="10"/>
      <color theme="1"/>
      <name val="Arial"/>
      <family val="2"/>
    </font>
    <font>
      <sz val="10"/>
      <name val="Arial"/>
      <family val="2"/>
    </font>
    <font>
      <b/>
      <i/>
      <sz val="10"/>
      <name val="Arial"/>
      <family val="2"/>
    </font>
    <font>
      <sz val="11"/>
      <color indexed="8"/>
      <name val="Calibri"/>
      <family val="2"/>
      <charset val="1"/>
    </font>
    <font>
      <sz val="10"/>
      <name val="Arial"/>
      <family val="2"/>
    </font>
    <font>
      <b/>
      <sz val="12"/>
      <color theme="1"/>
      <name val="Calibri"/>
      <family val="2"/>
      <scheme val="minor"/>
    </font>
    <font>
      <sz val="11"/>
      <color theme="1"/>
      <name val="Arial"/>
      <family val="2"/>
    </font>
    <font>
      <b/>
      <sz val="11"/>
      <color theme="1"/>
      <name val="Arial"/>
      <family val="2"/>
    </font>
    <font>
      <sz val="10"/>
      <color rgb="FF00B050"/>
      <name val="Arial"/>
      <family val="2"/>
    </font>
    <font>
      <b/>
      <sz val="9"/>
      <color indexed="81"/>
      <name val="Tahoma"/>
      <family val="2"/>
    </font>
    <font>
      <sz val="9"/>
      <color indexed="81"/>
      <name val="Tahoma"/>
      <family val="2"/>
    </font>
    <font>
      <i/>
      <sz val="11"/>
      <name val="Arial"/>
      <family val="2"/>
    </font>
    <font>
      <sz val="10"/>
      <color theme="1"/>
      <name val="Calibri"/>
      <family val="2"/>
      <scheme val="minor"/>
    </font>
    <font>
      <b/>
      <sz val="10"/>
      <color theme="1"/>
      <name val="Arial"/>
      <family val="2"/>
    </font>
    <font>
      <b/>
      <i/>
      <sz val="12"/>
      <name val="Arial"/>
      <family val="2"/>
    </font>
    <font>
      <b/>
      <sz val="10"/>
      <color rgb="FFFF0000"/>
      <name val="Arial"/>
      <family val="2"/>
    </font>
    <font>
      <b/>
      <sz val="11"/>
      <name val="Calibri"/>
      <family val="2"/>
      <scheme val="minor"/>
    </font>
    <font>
      <b/>
      <sz val="11"/>
      <color rgb="FFFF0000"/>
      <name val="Calibri"/>
      <family val="2"/>
      <scheme val="minor"/>
    </font>
    <font>
      <u/>
      <sz val="11"/>
      <color theme="1"/>
      <name val="Calibri"/>
      <family val="2"/>
      <scheme val="minor"/>
    </font>
    <font>
      <sz val="8"/>
      <color rgb="FF222222"/>
      <name val="Arial"/>
      <family val="2"/>
    </font>
    <font>
      <b/>
      <sz val="14"/>
      <name val="Tahoma"/>
      <family val="2"/>
    </font>
    <font>
      <sz val="12"/>
      <name val="Tahoma"/>
      <family val="2"/>
    </font>
    <font>
      <b/>
      <sz val="12"/>
      <name val="Tahoma"/>
      <family val="2"/>
    </font>
    <font>
      <b/>
      <sz val="13"/>
      <name val="Tahoma"/>
      <family val="2"/>
    </font>
    <font>
      <sz val="10"/>
      <color rgb="FF0070C0"/>
      <name val="Arial"/>
      <family val="2"/>
    </font>
    <font>
      <sz val="11"/>
      <color rgb="FF0070C0"/>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name val="Humnst777 BT"/>
    </font>
    <font>
      <sz val="12"/>
      <name val="Arial"/>
      <family val="2"/>
    </font>
    <font>
      <sz val="11"/>
      <color indexed="8"/>
      <name val="Calibri"/>
      <family val="2"/>
    </font>
    <font>
      <sz val="8"/>
      <name val="MS Sans Serif"/>
      <family val="2"/>
    </font>
    <font>
      <sz val="9"/>
      <color theme="1"/>
      <name val="Calibri"/>
      <family val="2"/>
      <scheme val="minor"/>
    </font>
    <font>
      <sz val="10"/>
      <color rgb="FF000000"/>
      <name val="Arial"/>
      <family val="2"/>
    </font>
    <font>
      <sz val="11"/>
      <name val="Calibri"/>
      <family val="2"/>
    </font>
    <font>
      <u val="doubleAccounting"/>
      <sz val="11"/>
      <color theme="1"/>
      <name val="Calibri"/>
      <family val="2"/>
      <scheme val="minor"/>
    </font>
    <font>
      <u val="singleAccounting"/>
      <sz val="11"/>
      <color theme="1"/>
      <name val="Calibri"/>
      <family val="2"/>
      <scheme val="minor"/>
    </font>
    <font>
      <sz val="11"/>
      <color rgb="FF000000"/>
      <name val="Calibri"/>
      <family val="2"/>
    </font>
    <font>
      <sz val="10"/>
      <color rgb="FFFF0000"/>
      <name val="Arial"/>
      <family val="2"/>
    </font>
    <font>
      <sz val="11"/>
      <color rgb="FFFF0000"/>
      <name val="Calibri"/>
      <family val="2"/>
    </font>
    <font>
      <sz val="9"/>
      <name val="Calibri"/>
      <family val="2"/>
      <scheme val="minor"/>
    </font>
    <font>
      <sz val="11"/>
      <color rgb="FF000000"/>
      <name val="Calibri"/>
      <family val="2"/>
    </font>
    <font>
      <b/>
      <sz val="12"/>
      <color theme="1"/>
      <name val="Arial"/>
      <family val="2"/>
    </font>
    <font>
      <sz val="9"/>
      <color theme="1"/>
      <name val="Arial"/>
      <family val="2"/>
    </font>
    <font>
      <sz val="8"/>
      <color theme="1"/>
      <name val="Arial"/>
      <family val="2"/>
    </font>
    <font>
      <i/>
      <sz val="10"/>
      <color theme="1"/>
      <name val="Arial"/>
      <family val="2"/>
    </font>
    <font>
      <i/>
      <sz val="9"/>
      <color theme="1"/>
      <name val="Arial"/>
      <family val="2"/>
    </font>
    <font>
      <b/>
      <sz val="9"/>
      <color theme="1"/>
      <name val="Arial"/>
      <family val="2"/>
    </font>
    <font>
      <sz val="9"/>
      <color rgb="FFFF0000"/>
      <name val="Arial"/>
      <family val="2"/>
    </font>
    <font>
      <i/>
      <sz val="8"/>
      <color theme="1"/>
      <name val="Arial"/>
      <family val="2"/>
    </font>
    <font>
      <sz val="9"/>
      <name val="Arial"/>
      <family val="2"/>
    </font>
    <font>
      <sz val="8"/>
      <name val="Arial"/>
      <family val="2"/>
    </font>
    <font>
      <b/>
      <sz val="12"/>
      <color rgb="FF000000"/>
      <name val="Arial"/>
      <family val="2"/>
    </font>
    <font>
      <b/>
      <sz val="10"/>
      <color rgb="FF000000"/>
      <name val="Arial"/>
      <family val="2"/>
    </font>
    <font>
      <sz val="9"/>
      <color rgb="FF000000"/>
      <name val="Arial"/>
      <family val="2"/>
    </font>
    <font>
      <sz val="8"/>
      <color rgb="FF000000"/>
      <name val="Arial"/>
      <family val="2"/>
    </font>
    <font>
      <i/>
      <sz val="10"/>
      <color rgb="FF000000"/>
      <name val="Arial"/>
      <family val="2"/>
    </font>
    <font>
      <b/>
      <i/>
      <sz val="10"/>
      <color rgb="FF000000"/>
      <name val="Arial"/>
      <family val="2"/>
    </font>
    <font>
      <i/>
      <sz val="9"/>
      <color rgb="FF000000"/>
      <name val="Arial"/>
      <family val="2"/>
    </font>
    <font>
      <i/>
      <u/>
      <sz val="9"/>
      <color theme="1"/>
      <name val="Arial"/>
      <family val="2"/>
    </font>
    <font>
      <b/>
      <i/>
      <sz val="14"/>
      <color theme="1"/>
      <name val="Arial"/>
      <family val="2"/>
    </font>
    <font>
      <sz val="6"/>
      <color theme="1"/>
      <name val="Arial"/>
      <family val="2"/>
    </font>
    <font>
      <i/>
      <sz val="6"/>
      <color theme="1"/>
      <name val="Arial"/>
      <family val="2"/>
    </font>
    <font>
      <u/>
      <sz val="9"/>
      <color theme="1"/>
      <name val="Arial"/>
      <family val="2"/>
    </font>
    <font>
      <b/>
      <sz val="12"/>
      <name val="Calibri"/>
      <family val="2"/>
      <scheme val="minor"/>
    </font>
    <font>
      <sz val="11"/>
      <name val="Arial"/>
      <family val="2"/>
    </font>
  </fonts>
  <fills count="6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indexed="43"/>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548DD4"/>
        <bgColor rgb="FF548DD4"/>
      </patternFill>
    </fill>
    <fill>
      <patternFill patternType="solid">
        <fgColor rgb="FF8DB3E2"/>
        <bgColor rgb="FF8DB3E2"/>
      </patternFill>
    </fill>
    <fill>
      <patternFill patternType="solid">
        <fgColor rgb="FFC0C0C0"/>
        <bgColor rgb="FFC0C0C0"/>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rgb="FFFFFFFF"/>
        <bgColor rgb="FF000000"/>
      </patternFill>
    </fill>
    <fill>
      <patternFill patternType="solid">
        <fgColor rgb="FFB4C6E7"/>
        <bgColor rgb="FF000000"/>
      </patternFill>
    </fill>
    <fill>
      <patternFill patternType="solid">
        <fgColor rgb="FFA2DEB0"/>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indexed="64"/>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0" fontId="17"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40" fillId="0" borderId="31" applyNumberFormat="0" applyFill="0" applyAlignment="0" applyProtection="0"/>
    <xf numFmtId="0" fontId="41" fillId="0" borderId="32" applyNumberFormat="0" applyFill="0" applyAlignment="0" applyProtection="0"/>
    <xf numFmtId="0" fontId="42" fillId="0" borderId="3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23" borderId="34" applyNumberFormat="0" applyAlignment="0" applyProtection="0"/>
    <xf numFmtId="0" fontId="47" fillId="24" borderId="35" applyNumberFormat="0" applyAlignment="0" applyProtection="0"/>
    <xf numFmtId="0" fontId="48" fillId="24" borderId="34" applyNumberFormat="0" applyAlignment="0" applyProtection="0"/>
    <xf numFmtId="0" fontId="49" fillId="0" borderId="36" applyNumberFormat="0" applyFill="0" applyAlignment="0" applyProtection="0"/>
    <xf numFmtId="0" fontId="50" fillId="25" borderId="37" applyNumberFormat="0" applyAlignment="0" applyProtection="0"/>
    <xf numFmtId="0" fontId="11" fillId="0" borderId="0" applyNumberFormat="0" applyFill="0" applyBorder="0" applyAlignment="0" applyProtection="0"/>
    <xf numFmtId="0" fontId="51" fillId="0" borderId="0" applyNumberFormat="0" applyFill="0" applyBorder="0" applyAlignment="0" applyProtection="0"/>
    <xf numFmtId="0" fontId="2" fillId="0" borderId="39" applyNumberFormat="0" applyFill="0" applyAlignment="0" applyProtection="0"/>
    <xf numFmtId="0" fontId="5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2" fillId="50" borderId="0" applyNumberFormat="0" applyBorder="0" applyAlignment="0" applyProtection="0"/>
    <xf numFmtId="0" fontId="53" fillId="0" borderId="0" applyNumberFormat="0" applyFill="0" applyBorder="0" applyAlignment="0" applyProtection="0"/>
    <xf numFmtId="0" fontId="54" fillId="0" borderId="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68" fontId="56" fillId="0" borderId="0"/>
    <xf numFmtId="169" fontId="56" fillId="0" borderId="0"/>
    <xf numFmtId="0" fontId="56"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3" fontId="54" fillId="0" borderId="0"/>
    <xf numFmtId="0" fontId="57" fillId="0" borderId="0"/>
    <xf numFmtId="0" fontId="14" fillId="0" borderId="0"/>
    <xf numFmtId="0" fontId="14" fillId="0" borderId="0"/>
    <xf numFmtId="0" fontId="14" fillId="0" borderId="0"/>
    <xf numFmtId="0" fontId="57" fillId="0" borderId="0"/>
    <xf numFmtId="0" fontId="57" fillId="0" borderId="0"/>
    <xf numFmtId="0" fontId="14" fillId="0" borderId="0"/>
    <xf numFmtId="0" fontId="14" fillId="0" borderId="0"/>
    <xf numFmtId="0" fontId="57" fillId="0" borderId="0"/>
    <xf numFmtId="0" fontId="1" fillId="0" borderId="0"/>
    <xf numFmtId="0" fontId="1" fillId="0" borderId="0"/>
    <xf numFmtId="0" fontId="14" fillId="0" borderId="0"/>
    <xf numFmtId="0" fontId="14" fillId="0" borderId="0"/>
    <xf numFmtId="0" fontId="14" fillId="0" borderId="0"/>
    <xf numFmtId="0" fontId="1" fillId="0" borderId="0"/>
    <xf numFmtId="0" fontId="14" fillId="0" borderId="0"/>
    <xf numFmtId="0" fontId="55" fillId="0" borderId="0"/>
    <xf numFmtId="0" fontId="55" fillId="0" borderId="0"/>
    <xf numFmtId="0" fontId="55" fillId="0" borderId="0"/>
    <xf numFmtId="0" fontId="55" fillId="0" borderId="0"/>
    <xf numFmtId="0" fontId="14" fillId="0" borderId="0"/>
    <xf numFmtId="0" fontId="14" fillId="0" borderId="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0" fontId="1" fillId="26" borderId="38" applyNumberFormat="0" applyFont="0" applyAlignment="0" applyProtection="0"/>
    <xf numFmtId="43" fontId="54" fillId="0" borderId="0" applyFont="0" applyFill="0" applyBorder="0" applyAlignment="0" applyProtection="0"/>
    <xf numFmtId="0" fontId="59" fillId="0" borderId="0"/>
    <xf numFmtId="0" fontId="67" fillId="0" borderId="0"/>
  </cellStyleXfs>
  <cellXfs count="879">
    <xf numFmtId="0" fontId="0" fillId="0" borderId="0" xfId="0"/>
    <xf numFmtId="0" fontId="4" fillId="0" borderId="1" xfId="0" applyFont="1" applyBorder="1" applyAlignment="1">
      <alignment horizontal="center"/>
    </xf>
    <xf numFmtId="0" fontId="4" fillId="0" borderId="1" xfId="0" applyFont="1" applyBorder="1" applyAlignment="1">
      <alignment horizontal="center" wrapText="1"/>
    </xf>
    <xf numFmtId="0" fontId="5" fillId="0" borderId="1" xfId="0" applyFont="1" applyBorder="1" applyAlignment="1">
      <alignment horizontal="right"/>
    </xf>
    <xf numFmtId="0" fontId="5" fillId="2" borderId="1" xfId="0" applyFont="1" applyFill="1" applyBorder="1"/>
    <xf numFmtId="10" fontId="6" fillId="3" borderId="1" xfId="2" applyNumberFormat="1" applyFont="1" applyFill="1" applyBorder="1" applyAlignment="1">
      <alignment horizontal="right"/>
    </xf>
    <xf numFmtId="10" fontId="6" fillId="2" borderId="1" xfId="2" applyNumberFormat="1" applyFont="1" applyFill="1" applyBorder="1" applyAlignment="1">
      <alignment horizontal="right"/>
    </xf>
    <xf numFmtId="0" fontId="0" fillId="0" borderId="0" xfId="0" applyFont="1"/>
    <xf numFmtId="0" fontId="6" fillId="0" borderId="7" xfId="0" applyFont="1" applyBorder="1"/>
    <xf numFmtId="164" fontId="6" fillId="0" borderId="0" xfId="0" applyNumberFormat="1" applyFont="1" applyBorder="1" applyAlignment="1">
      <alignment horizontal="right"/>
    </xf>
    <xf numFmtId="0" fontId="6" fillId="0" borderId="0" xfId="0" applyFont="1" applyBorder="1"/>
    <xf numFmtId="0" fontId="6" fillId="0" borderId="8" xfId="0" applyFont="1" applyBorder="1"/>
    <xf numFmtId="164" fontId="6" fillId="0" borderId="10" xfId="0" applyNumberFormat="1" applyFont="1" applyBorder="1" applyAlignment="1">
      <alignment horizontal="right"/>
    </xf>
    <xf numFmtId="164" fontId="0" fillId="0" borderId="0" xfId="0" applyNumberFormat="1" applyFont="1" applyAlignment="1">
      <alignment horizontal="right"/>
    </xf>
    <xf numFmtId="0" fontId="0" fillId="0" borderId="0" xfId="0" applyFont="1" applyBorder="1"/>
    <xf numFmtId="10" fontId="7" fillId="2" borderId="1" xfId="2" applyNumberFormat="1" applyFont="1" applyFill="1" applyBorder="1" applyAlignment="1">
      <alignment horizontal="right"/>
    </xf>
    <xf numFmtId="165" fontId="0" fillId="0" borderId="12" xfId="1" applyNumberFormat="1" applyFont="1" applyBorder="1"/>
    <xf numFmtId="165" fontId="2" fillId="0" borderId="1" xfId="1" applyNumberFormat="1" applyFont="1" applyBorder="1"/>
    <xf numFmtId="165" fontId="9" fillId="0" borderId="0" xfId="0" applyNumberFormat="1" applyFont="1"/>
    <xf numFmtId="165" fontId="0" fillId="4" borderId="0" xfId="1" applyNumberFormat="1" applyFont="1" applyFill="1"/>
    <xf numFmtId="0" fontId="3" fillId="4" borderId="1" xfId="0" applyFont="1" applyFill="1" applyBorder="1" applyAlignment="1">
      <alignment horizontal="center" wrapText="1"/>
    </xf>
    <xf numFmtId="164" fontId="8" fillId="4" borderId="1" xfId="0" applyNumberFormat="1"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164" fontId="8" fillId="4" borderId="16"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0" fontId="5" fillId="4" borderId="2" xfId="0" applyFont="1" applyFill="1" applyBorder="1"/>
    <xf numFmtId="164" fontId="3" fillId="4" borderId="2" xfId="0" applyNumberFormat="1" applyFont="1" applyFill="1" applyBorder="1" applyAlignment="1">
      <alignment horizontal="center" vertical="center" wrapText="1"/>
    </xf>
    <xf numFmtId="165" fontId="0" fillId="4" borderId="0" xfId="1" applyNumberFormat="1" applyFont="1" applyFill="1" applyBorder="1"/>
    <xf numFmtId="0" fontId="5" fillId="0" borderId="1" xfId="0" applyFont="1" applyBorder="1" applyAlignment="1">
      <alignment horizontal="left" indent="1"/>
    </xf>
    <xf numFmtId="0" fontId="0" fillId="0" borderId="0" xfId="0" applyFill="1"/>
    <xf numFmtId="0" fontId="0" fillId="0" borderId="0" xfId="0" applyAlignment="1">
      <alignment horizontal="center"/>
    </xf>
    <xf numFmtId="0" fontId="12" fillId="0" borderId="0" xfId="0" applyFont="1"/>
    <xf numFmtId="0" fontId="12" fillId="0" borderId="0" xfId="0" applyFont="1" applyAlignment="1">
      <alignment horizontal="center"/>
    </xf>
    <xf numFmtId="0" fontId="4" fillId="0" borderId="1" xfId="0" applyFont="1" applyBorder="1"/>
    <xf numFmtId="0" fontId="4" fillId="6" borderId="1" xfId="0" applyFont="1" applyFill="1" applyBorder="1" applyAlignment="1">
      <alignment horizontal="center" wrapText="1"/>
    </xf>
    <xf numFmtId="0" fontId="2" fillId="0" borderId="1" xfId="0" applyFont="1" applyBorder="1" applyAlignment="1">
      <alignment horizontal="center" wrapText="1"/>
    </xf>
    <xf numFmtId="0" fontId="12" fillId="0" borderId="1" xfId="0" applyFont="1" applyFill="1" applyBorder="1"/>
    <xf numFmtId="0" fontId="12" fillId="0" borderId="1" xfId="0" applyFont="1" applyFill="1" applyBorder="1" applyAlignment="1">
      <alignment horizontal="center"/>
    </xf>
    <xf numFmtId="43" fontId="12" fillId="0" borderId="1" xfId="1" applyFont="1" applyFill="1" applyBorder="1"/>
    <xf numFmtId="43" fontId="12" fillId="0" borderId="1" xfId="1" applyFont="1" applyFill="1" applyBorder="1" applyAlignment="1">
      <alignment horizontal="center"/>
    </xf>
    <xf numFmtId="0" fontId="15" fillId="0" borderId="12" xfId="0" applyFont="1" applyFill="1" applyBorder="1" applyAlignment="1">
      <alignment horizontal="right"/>
    </xf>
    <xf numFmtId="43" fontId="4" fillId="0" borderId="12" xfId="1" applyFont="1" applyFill="1" applyBorder="1"/>
    <xf numFmtId="165" fontId="4" fillId="6" borderId="12" xfId="1" applyNumberFormat="1" applyFont="1" applyFill="1" applyBorder="1"/>
    <xf numFmtId="165" fontId="4" fillId="0" borderId="12" xfId="1" applyNumberFormat="1" applyFont="1" applyFill="1" applyBorder="1"/>
    <xf numFmtId="0" fontId="14" fillId="0" borderId="1" xfId="0" applyFont="1" applyFill="1" applyBorder="1" applyAlignment="1">
      <alignment horizontal="center"/>
    </xf>
    <xf numFmtId="43" fontId="14" fillId="0" borderId="1" xfId="1" applyFont="1" applyFill="1" applyBorder="1"/>
    <xf numFmtId="0" fontId="4" fillId="0" borderId="9" xfId="0" applyFont="1" applyFill="1" applyBorder="1"/>
    <xf numFmtId="0" fontId="4" fillId="0" borderId="9" xfId="0" applyFont="1" applyFill="1" applyBorder="1" applyAlignment="1">
      <alignment horizontal="center"/>
    </xf>
    <xf numFmtId="43" fontId="2" fillId="0" borderId="1" xfId="1" applyFont="1" applyBorder="1"/>
    <xf numFmtId="0" fontId="0" fillId="0" borderId="0" xfId="0" applyAlignment="1">
      <alignment wrapText="1"/>
    </xf>
    <xf numFmtId="0" fontId="14" fillId="0" borderId="15" xfId="0" applyFont="1" applyFill="1" applyBorder="1"/>
    <xf numFmtId="0" fontId="14" fillId="0" borderId="9" xfId="0" applyFont="1" applyFill="1" applyBorder="1"/>
    <xf numFmtId="165" fontId="2" fillId="0" borderId="1" xfId="1" applyNumberFormat="1" applyFont="1" applyBorder="1" applyAlignment="1">
      <alignment wrapText="1"/>
    </xf>
    <xf numFmtId="0" fontId="0" fillId="5" borderId="0" xfId="0" applyFill="1"/>
    <xf numFmtId="0" fontId="10" fillId="5" borderId="0" xfId="0" applyFont="1" applyFill="1" applyAlignment="1">
      <alignment horizontal="right"/>
    </xf>
    <xf numFmtId="165" fontId="2" fillId="5" borderId="0" xfId="0" applyNumberFormat="1" applyFont="1" applyFill="1"/>
    <xf numFmtId="0" fontId="4" fillId="0" borderId="0" xfId="0" applyFont="1"/>
    <xf numFmtId="0" fontId="12" fillId="0" borderId="1" xfId="0" applyFont="1" applyBorder="1"/>
    <xf numFmtId="42" fontId="12" fillId="9" borderId="1" xfId="0" applyNumberFormat="1" applyFont="1" applyFill="1" applyBorder="1"/>
    <xf numFmtId="42" fontId="12" fillId="10" borderId="1" xfId="0" applyNumberFormat="1" applyFont="1" applyFill="1" applyBorder="1"/>
    <xf numFmtId="0" fontId="4" fillId="0" borderId="1" xfId="0" applyFont="1" applyBorder="1" applyAlignment="1">
      <alignment horizontal="right"/>
    </xf>
    <xf numFmtId="42" fontId="4" fillId="0" borderId="1" xfId="0" applyNumberFormat="1" applyFont="1" applyBorder="1"/>
    <xf numFmtId="0" fontId="17" fillId="0" borderId="0" xfId="5"/>
    <xf numFmtId="14" fontId="17" fillId="0" borderId="0" xfId="5" applyNumberFormat="1"/>
    <xf numFmtId="0" fontId="14" fillId="0" borderId="0" xfId="5" applyFont="1"/>
    <xf numFmtId="0" fontId="4" fillId="11" borderId="1" xfId="0" applyFont="1" applyFill="1" applyBorder="1" applyAlignment="1">
      <alignment horizontal="left" vertical="center"/>
    </xf>
    <xf numFmtId="0" fontId="11" fillId="0" borderId="0" xfId="0" applyFont="1" applyFill="1"/>
    <xf numFmtId="0" fontId="0" fillId="0" borderId="0" xfId="0" applyFill="1" applyAlignment="1">
      <alignment horizontal="center"/>
    </xf>
    <xf numFmtId="0" fontId="4" fillId="11" borderId="1" xfId="0" applyFont="1" applyFill="1" applyBorder="1" applyAlignment="1">
      <alignment vertical="center"/>
    </xf>
    <xf numFmtId="0" fontId="13" fillId="11" borderId="1" xfId="0" applyFont="1" applyFill="1" applyBorder="1"/>
    <xf numFmtId="0" fontId="12" fillId="11" borderId="1" xfId="0" applyFont="1" applyFill="1" applyBorder="1"/>
    <xf numFmtId="0" fontId="12" fillId="11" borderId="1" xfId="0" applyFont="1" applyFill="1" applyBorder="1" applyAlignment="1">
      <alignment horizontal="center"/>
    </xf>
    <xf numFmtId="0" fontId="0" fillId="11" borderId="1" xfId="0" applyFill="1" applyBorder="1"/>
    <xf numFmtId="0" fontId="14" fillId="0" borderId="1" xfId="0" applyFont="1" applyFill="1" applyBorder="1" applyAlignment="1">
      <alignment wrapText="1"/>
    </xf>
    <xf numFmtId="0" fontId="19" fillId="0" borderId="1" xfId="0" applyFont="1" applyBorder="1"/>
    <xf numFmtId="43" fontId="20" fillId="0" borderId="1" xfId="1" applyFont="1" applyBorder="1"/>
    <xf numFmtId="165" fontId="20" fillId="0" borderId="1" xfId="1" applyNumberFormat="1" applyFont="1" applyBorder="1"/>
    <xf numFmtId="0" fontId="20" fillId="0" borderId="1" xfId="0" applyFont="1" applyBorder="1"/>
    <xf numFmtId="165" fontId="2" fillId="6" borderId="15" xfId="1" applyNumberFormat="1" applyFont="1" applyFill="1" applyBorder="1"/>
    <xf numFmtId="165" fontId="2" fillId="0" borderId="15" xfId="1" applyNumberFormat="1" applyFont="1" applyFill="1" applyBorder="1"/>
    <xf numFmtId="165" fontId="2" fillId="7" borderId="15" xfId="1" applyNumberFormat="1" applyFont="1" applyFill="1" applyBorder="1"/>
    <xf numFmtId="165" fontId="2" fillId="8" borderId="15" xfId="1" applyNumberFormat="1" applyFont="1" applyFill="1" applyBorder="1"/>
    <xf numFmtId="0" fontId="2" fillId="0" borderId="15" xfId="0" applyFont="1" applyBorder="1"/>
    <xf numFmtId="165" fontId="0" fillId="6" borderId="17" xfId="1" applyNumberFormat="1" applyFont="1" applyFill="1" applyBorder="1"/>
    <xf numFmtId="165" fontId="0" fillId="0" borderId="17" xfId="1" applyNumberFormat="1" applyFont="1" applyFill="1" applyBorder="1"/>
    <xf numFmtId="165" fontId="0" fillId="7" borderId="17" xfId="1" applyNumberFormat="1" applyFont="1" applyFill="1" applyBorder="1"/>
    <xf numFmtId="165" fontId="0" fillId="8" borderId="17" xfId="1" applyNumberFormat="1" applyFont="1" applyFill="1" applyBorder="1"/>
    <xf numFmtId="0" fontId="0" fillId="0" borderId="17" xfId="0" applyBorder="1"/>
    <xf numFmtId="165" fontId="0" fillId="12" borderId="1" xfId="1" applyNumberFormat="1" applyFont="1" applyFill="1" applyBorder="1"/>
    <xf numFmtId="0" fontId="0" fillId="12" borderId="1" xfId="0" applyFill="1" applyBorder="1"/>
    <xf numFmtId="10" fontId="0" fillId="12" borderId="1" xfId="3" applyNumberFormat="1" applyFont="1" applyFill="1" applyBorder="1"/>
    <xf numFmtId="165" fontId="0" fillId="12" borderId="1" xfId="1" applyNumberFormat="1" applyFont="1" applyFill="1" applyBorder="1" applyAlignment="1">
      <alignment wrapText="1"/>
    </xf>
    <xf numFmtId="0" fontId="4" fillId="0" borderId="1" xfId="0" applyFont="1" applyFill="1" applyBorder="1"/>
    <xf numFmtId="0" fontId="0" fillId="0" borderId="1" xfId="0" applyFill="1" applyBorder="1" applyAlignment="1">
      <alignment vertical="top" wrapText="1"/>
    </xf>
    <xf numFmtId="0" fontId="11" fillId="0" borderId="1" xfId="0" applyFont="1" applyFill="1" applyBorder="1"/>
    <xf numFmtId="0" fontId="21" fillId="0" borderId="1" xfId="0" applyFont="1" applyFill="1" applyBorder="1"/>
    <xf numFmtId="0" fontId="14" fillId="0" borderId="1" xfId="0" applyFont="1" applyFill="1" applyBorder="1" applyAlignment="1">
      <alignment vertical="center"/>
    </xf>
    <xf numFmtId="0" fontId="12" fillId="0" borderId="1" xfId="0" applyFont="1" applyFill="1" applyBorder="1" applyAlignment="1">
      <alignment vertical="center"/>
    </xf>
    <xf numFmtId="0" fontId="14" fillId="0" borderId="1" xfId="0" applyFont="1" applyFill="1" applyBorder="1" applyAlignment="1">
      <alignment horizontal="center" vertical="center"/>
    </xf>
    <xf numFmtId="43" fontId="14" fillId="0" borderId="1" xfId="1" applyFont="1" applyFill="1" applyBorder="1" applyAlignment="1">
      <alignment vertical="center"/>
    </xf>
    <xf numFmtId="0" fontId="0" fillId="0" borderId="1" xfId="0" applyBorder="1" applyAlignment="1">
      <alignment vertical="top" wrapText="1"/>
    </xf>
    <xf numFmtId="165" fontId="4" fillId="0" borderId="12" xfId="1" applyNumberFormat="1" applyFont="1" applyFill="1" applyBorder="1" applyAlignment="1">
      <alignment vertical="center"/>
    </xf>
    <xf numFmtId="0" fontId="15" fillId="0" borderId="12" xfId="0" applyFont="1" applyFill="1" applyBorder="1" applyAlignment="1">
      <alignment horizontal="right" vertical="center"/>
    </xf>
    <xf numFmtId="0" fontId="14" fillId="0" borderId="12" xfId="0" applyFont="1" applyFill="1" applyBorder="1" applyAlignment="1">
      <alignment vertical="center"/>
    </xf>
    <xf numFmtId="0" fontId="14" fillId="0" borderId="12" xfId="0" applyFont="1" applyFill="1" applyBorder="1" applyAlignment="1">
      <alignment horizontal="center" vertical="center"/>
    </xf>
    <xf numFmtId="43" fontId="14" fillId="0" borderId="12" xfId="1" applyFont="1" applyFill="1" applyBorder="1" applyAlignment="1">
      <alignment vertical="center"/>
    </xf>
    <xf numFmtId="165" fontId="4" fillId="6" borderId="12" xfId="1" applyNumberFormat="1" applyFont="1" applyFill="1" applyBorder="1" applyAlignment="1">
      <alignment vertical="center"/>
    </xf>
    <xf numFmtId="0" fontId="4" fillId="0" borderId="14" xfId="0" applyFont="1" applyBorder="1" applyAlignment="1">
      <alignment horizontal="center"/>
    </xf>
    <xf numFmtId="0" fontId="4" fillId="0" borderId="13" xfId="0" applyFont="1" applyBorder="1" applyAlignment="1">
      <alignment horizontal="center" wrapText="1"/>
    </xf>
    <xf numFmtId="165" fontId="0" fillId="0" borderId="21" xfId="1" applyNumberFormat="1" applyFont="1" applyBorder="1"/>
    <xf numFmtId="165" fontId="2" fillId="0" borderId="21" xfId="1" applyNumberFormat="1" applyFont="1" applyBorder="1"/>
    <xf numFmtId="165" fontId="0" fillId="4" borderId="21" xfId="1" applyNumberFormat="1" applyFont="1" applyFill="1" applyBorder="1"/>
    <xf numFmtId="0" fontId="4" fillId="13" borderId="1" xfId="0" applyFont="1" applyFill="1" applyBorder="1" applyAlignment="1">
      <alignment horizontal="center" wrapText="1"/>
    </xf>
    <xf numFmtId="0" fontId="4" fillId="4" borderId="1" xfId="0" applyFont="1" applyFill="1" applyBorder="1" applyAlignment="1">
      <alignment horizontal="center"/>
    </xf>
    <xf numFmtId="0" fontId="4" fillId="14" borderId="1" xfId="0" applyFont="1" applyFill="1" applyBorder="1" applyAlignment="1">
      <alignment horizontal="center" wrapText="1"/>
    </xf>
    <xf numFmtId="0" fontId="0" fillId="0" borderId="5" xfId="0" applyBorder="1"/>
    <xf numFmtId="165" fontId="0" fillId="0" borderId="5" xfId="1" applyNumberFormat="1" applyFont="1" applyBorder="1"/>
    <xf numFmtId="165" fontId="0" fillId="0" borderId="20" xfId="1" applyNumberFormat="1" applyFont="1" applyBorder="1"/>
    <xf numFmtId="0" fontId="0" fillId="0" borderId="9" xfId="0" applyFill="1" applyBorder="1" applyAlignment="1">
      <alignment horizontal="left" indent="5"/>
    </xf>
    <xf numFmtId="0" fontId="0" fillId="0" borderId="10" xfId="0" applyBorder="1"/>
    <xf numFmtId="165" fontId="0" fillId="0" borderId="10" xfId="1" applyNumberFormat="1" applyFont="1" applyBorder="1"/>
    <xf numFmtId="165" fontId="0" fillId="0" borderId="22" xfId="1" applyNumberFormat="1" applyFont="1" applyBorder="1"/>
    <xf numFmtId="0" fontId="0" fillId="0" borderId="7" xfId="0" applyFill="1" applyBorder="1" applyAlignment="1">
      <alignment horizontal="left" indent="5"/>
    </xf>
    <xf numFmtId="0" fontId="0" fillId="0" borderId="0" xfId="0" applyBorder="1"/>
    <xf numFmtId="165" fontId="0" fillId="0" borderId="0" xfId="1" applyNumberFormat="1" applyFont="1" applyBorder="1"/>
    <xf numFmtId="165" fontId="2" fillId="0" borderId="10" xfId="1" applyNumberFormat="1" applyFont="1" applyBorder="1"/>
    <xf numFmtId="165" fontId="2" fillId="0" borderId="0" xfId="1" applyNumberFormat="1" applyFont="1" applyBorder="1"/>
    <xf numFmtId="0" fontId="13" fillId="12" borderId="1" xfId="0" applyFont="1" applyFill="1" applyBorder="1"/>
    <xf numFmtId="0" fontId="12" fillId="12" borderId="1" xfId="0" applyFont="1" applyFill="1" applyBorder="1"/>
    <xf numFmtId="0" fontId="12" fillId="12" borderId="1" xfId="0" applyFont="1" applyFill="1" applyBorder="1" applyAlignment="1">
      <alignment horizontal="center"/>
    </xf>
    <xf numFmtId="0" fontId="0" fillId="12" borderId="1" xfId="0" applyFill="1" applyBorder="1" applyAlignment="1">
      <alignment wrapText="1"/>
    </xf>
    <xf numFmtId="0" fontId="4" fillId="15" borderId="1" xfId="0" applyFont="1" applyFill="1" applyBorder="1" applyAlignment="1">
      <alignment horizontal="center"/>
    </xf>
    <xf numFmtId="0" fontId="0" fillId="0" borderId="9" xfId="0" applyFont="1" applyBorder="1"/>
    <xf numFmtId="0" fontId="0" fillId="0" borderId="11" xfId="0" applyFont="1" applyBorder="1"/>
    <xf numFmtId="0" fontId="0" fillId="0" borderId="7" xfId="0" applyFont="1" applyBorder="1"/>
    <xf numFmtId="0" fontId="0" fillId="0" borderId="8" xfId="0" applyFont="1" applyBorder="1"/>
    <xf numFmtId="165" fontId="2" fillId="0" borderId="6" xfId="1" applyNumberFormat="1" applyFont="1" applyBorder="1"/>
    <xf numFmtId="165" fontId="2" fillId="0" borderId="11" xfId="1" applyNumberFormat="1" applyFont="1" applyBorder="1"/>
    <xf numFmtId="165" fontId="2" fillId="0" borderId="8" xfId="1" applyNumberFormat="1" applyFont="1" applyBorder="1"/>
    <xf numFmtId="0" fontId="10" fillId="0" borderId="7" xfId="0" applyFont="1" applyBorder="1" applyAlignment="1">
      <alignment horizontal="right"/>
    </xf>
    <xf numFmtId="0" fontId="10" fillId="0" borderId="9" xfId="0" applyFont="1" applyBorder="1" applyAlignment="1">
      <alignment horizontal="right"/>
    </xf>
    <xf numFmtId="165" fontId="2" fillId="0" borderId="22" xfId="1" applyNumberFormat="1" applyFont="1" applyBorder="1"/>
    <xf numFmtId="0" fontId="0" fillId="0" borderId="7" xfId="0" applyFill="1" applyBorder="1"/>
    <xf numFmtId="165" fontId="0" fillId="0" borderId="15" xfId="1" applyNumberFormat="1" applyFont="1" applyBorder="1"/>
    <xf numFmtId="0" fontId="5" fillId="0" borderId="15" xfId="0" applyFont="1" applyBorder="1" applyAlignment="1">
      <alignment horizontal="right"/>
    </xf>
    <xf numFmtId="0" fontId="5" fillId="12" borderId="15" xfId="0" applyFont="1" applyFill="1" applyBorder="1" applyAlignment="1">
      <alignment horizontal="right"/>
    </xf>
    <xf numFmtId="165" fontId="0" fillId="12" borderId="15" xfId="1" applyNumberFormat="1" applyFont="1" applyFill="1" applyBorder="1"/>
    <xf numFmtId="165" fontId="2" fillId="12" borderId="15" xfId="1" applyNumberFormat="1" applyFont="1" applyFill="1" applyBorder="1"/>
    <xf numFmtId="165" fontId="2" fillId="12" borderId="3" xfId="1" applyNumberFormat="1" applyFont="1" applyFill="1" applyBorder="1"/>
    <xf numFmtId="0" fontId="14" fillId="0" borderId="9" xfId="0" applyFont="1" applyFill="1" applyBorder="1" applyAlignment="1">
      <alignment horizontal="center"/>
    </xf>
    <xf numFmtId="0" fontId="14" fillId="0" borderId="7" xfId="0" applyFont="1" applyFill="1" applyBorder="1"/>
    <xf numFmtId="0" fontId="0" fillId="0" borderId="0" xfId="0"/>
    <xf numFmtId="0" fontId="0" fillId="0" borderId="0" xfId="0" applyAlignment="1">
      <alignment horizontal="center"/>
    </xf>
    <xf numFmtId="0" fontId="24" fillId="0" borderId="15" xfId="0" applyFont="1" applyFill="1" applyBorder="1" applyAlignment="1">
      <alignment horizontal="right"/>
    </xf>
    <xf numFmtId="165" fontId="0" fillId="0" borderId="15" xfId="1" applyNumberFormat="1" applyFont="1" applyFill="1" applyBorder="1"/>
    <xf numFmtId="165" fontId="2" fillId="0" borderId="3" xfId="1" applyNumberFormat="1" applyFont="1" applyFill="1" applyBorder="1"/>
    <xf numFmtId="0" fontId="5" fillId="0" borderId="15" xfId="0" applyFont="1" applyFill="1" applyBorder="1" applyAlignment="1">
      <alignment horizontal="right"/>
    </xf>
    <xf numFmtId="165" fontId="11" fillId="7" borderId="1" xfId="1" applyNumberFormat="1" applyFont="1" applyFill="1" applyBorder="1"/>
    <xf numFmtId="165" fontId="0" fillId="0" borderId="28" xfId="1" applyNumberFormat="1" applyFont="1" applyBorder="1"/>
    <xf numFmtId="0" fontId="25" fillId="0" borderId="1" xfId="0" applyFont="1" applyBorder="1" applyAlignment="1">
      <alignment wrapText="1"/>
    </xf>
    <xf numFmtId="0" fontId="25" fillId="0" borderId="1" xfId="0" applyFont="1" applyFill="1" applyBorder="1"/>
    <xf numFmtId="0" fontId="0" fillId="0" borderId="0" xfId="0" applyAlignment="1"/>
    <xf numFmtId="0" fontId="0" fillId="0" borderId="1" xfId="0" applyFont="1" applyBorder="1" applyAlignment="1">
      <alignment wrapText="1"/>
    </xf>
    <xf numFmtId="165" fontId="12" fillId="6" borderId="1" xfId="1" applyNumberFormat="1" applyFont="1" applyFill="1" applyBorder="1"/>
    <xf numFmtId="165" fontId="12" fillId="0" borderId="1" xfId="1" applyNumberFormat="1" applyFont="1" applyFill="1" applyBorder="1"/>
    <xf numFmtId="165" fontId="12" fillId="7" borderId="1" xfId="1" applyNumberFormat="1" applyFont="1" applyFill="1" applyBorder="1"/>
    <xf numFmtId="165" fontId="12" fillId="8" borderId="1" xfId="1" applyNumberFormat="1" applyFont="1" applyFill="1" applyBorder="1"/>
    <xf numFmtId="165" fontId="12" fillId="0" borderId="1" xfId="1" applyNumberFormat="1" applyFont="1" applyBorder="1"/>
    <xf numFmtId="0" fontId="12" fillId="12" borderId="1" xfId="0" applyFont="1" applyFill="1" applyBorder="1" applyAlignment="1">
      <alignment wrapText="1"/>
    </xf>
    <xf numFmtId="0" fontId="12" fillId="0" borderId="1" xfId="0" applyFont="1" applyBorder="1" applyAlignment="1">
      <alignment wrapText="1"/>
    </xf>
    <xf numFmtId="165" fontId="12" fillId="6" borderId="1" xfId="1" applyNumberFormat="1" applyFont="1" applyFill="1" applyBorder="1" applyAlignment="1">
      <alignment vertical="center"/>
    </xf>
    <xf numFmtId="165" fontId="12" fillId="0" borderId="1" xfId="1" applyNumberFormat="1" applyFont="1" applyFill="1" applyBorder="1" applyAlignment="1">
      <alignment vertical="center"/>
    </xf>
    <xf numFmtId="165" fontId="12" fillId="7" borderId="1" xfId="1" applyNumberFormat="1" applyFont="1" applyFill="1" applyBorder="1" applyAlignment="1">
      <alignment vertical="center"/>
    </xf>
    <xf numFmtId="165" fontId="12" fillId="8" borderId="1" xfId="1" applyNumberFormat="1" applyFont="1" applyFill="1" applyBorder="1" applyAlignment="1">
      <alignment vertical="center"/>
    </xf>
    <xf numFmtId="0" fontId="12" fillId="0" borderId="1" xfId="0" applyFont="1" applyBorder="1" applyAlignment="1">
      <alignment vertical="top" wrapText="1"/>
    </xf>
    <xf numFmtId="165" fontId="26" fillId="0" borderId="1" xfId="1" applyNumberFormat="1" applyFont="1" applyBorder="1"/>
    <xf numFmtId="0" fontId="26" fillId="0" borderId="1" xfId="0" applyFont="1" applyBorder="1"/>
    <xf numFmtId="43" fontId="26" fillId="0" borderId="1" xfId="1" applyFont="1" applyBorder="1"/>
    <xf numFmtId="0" fontId="26" fillId="0" borderId="1" xfId="0" applyFont="1" applyBorder="1" applyAlignment="1">
      <alignment horizontal="center" wrapText="1"/>
    </xf>
    <xf numFmtId="0" fontId="12" fillId="5" borderId="0" xfId="0" applyFont="1" applyFill="1"/>
    <xf numFmtId="0" fontId="13" fillId="5" borderId="0" xfId="0" applyFont="1" applyFill="1" applyAlignment="1">
      <alignment horizontal="right"/>
    </xf>
    <xf numFmtId="165" fontId="12" fillId="0" borderId="0" xfId="0" applyNumberFormat="1" applyFont="1"/>
    <xf numFmtId="0" fontId="0" fillId="0" borderId="0" xfId="0" applyFill="1" applyBorder="1"/>
    <xf numFmtId="166" fontId="7" fillId="2" borderId="1" xfId="2" applyNumberFormat="1" applyFont="1" applyFill="1" applyBorder="1" applyAlignment="1">
      <alignment horizontal="right"/>
    </xf>
    <xf numFmtId="0" fontId="6" fillId="8" borderId="1" xfId="0" applyNumberFormat="1" applyFont="1" applyFill="1" applyBorder="1" applyAlignment="1">
      <alignment horizontal="right" wrapText="1"/>
    </xf>
    <xf numFmtId="164" fontId="6" fillId="8" borderId="1" xfId="0" applyNumberFormat="1" applyFont="1" applyFill="1" applyBorder="1" applyAlignment="1">
      <alignment horizontal="right"/>
    </xf>
    <xf numFmtId="10" fontId="6" fillId="8" borderId="1" xfId="3" applyNumberFormat="1" applyFont="1" applyFill="1" applyBorder="1"/>
    <xf numFmtId="0" fontId="0" fillId="8" borderId="1" xfId="0" applyFont="1" applyFill="1" applyBorder="1"/>
    <xf numFmtId="0" fontId="0" fillId="11" borderId="4" xfId="0" applyFont="1" applyFill="1" applyBorder="1"/>
    <xf numFmtId="0" fontId="0" fillId="11" borderId="5" xfId="0" applyFont="1" applyFill="1" applyBorder="1"/>
    <xf numFmtId="0" fontId="0" fillId="11" borderId="6" xfId="0" applyFont="1" applyFill="1" applyBorder="1"/>
    <xf numFmtId="10" fontId="6" fillId="11" borderId="1" xfId="3" applyNumberFormat="1" applyFont="1" applyFill="1" applyBorder="1"/>
    <xf numFmtId="0" fontId="0" fillId="11" borderId="1" xfId="0" applyFont="1" applyFill="1" applyBorder="1"/>
    <xf numFmtId="164" fontId="6" fillId="11" borderId="7" xfId="0" applyNumberFormat="1" applyFont="1" applyFill="1" applyBorder="1" applyAlignment="1">
      <alignment horizontal="right"/>
    </xf>
    <xf numFmtId="164" fontId="6" fillId="8" borderId="7" xfId="0" applyNumberFormat="1" applyFont="1" applyFill="1" applyBorder="1" applyAlignment="1">
      <alignment horizontal="right"/>
    </xf>
    <xf numFmtId="0" fontId="6" fillId="8" borderId="4" xfId="0" applyFont="1" applyFill="1" applyBorder="1"/>
    <xf numFmtId="164" fontId="6" fillId="8" borderId="5" xfId="0" applyNumberFormat="1" applyFont="1" applyFill="1" applyBorder="1" applyAlignment="1">
      <alignment horizontal="right"/>
    </xf>
    <xf numFmtId="164" fontId="6" fillId="8" borderId="0" xfId="0" applyNumberFormat="1" applyFont="1" applyFill="1" applyBorder="1" applyAlignment="1">
      <alignment horizontal="right"/>
    </xf>
    <xf numFmtId="0" fontId="6" fillId="8" borderId="9" xfId="0" applyFont="1" applyFill="1" applyBorder="1"/>
    <xf numFmtId="164" fontId="6" fillId="8" borderId="10" xfId="0" applyNumberFormat="1" applyFont="1" applyFill="1" applyBorder="1" applyAlignment="1">
      <alignment horizontal="right"/>
    </xf>
    <xf numFmtId="0" fontId="6" fillId="8" borderId="7" xfId="0" applyFont="1" applyFill="1" applyBorder="1"/>
    <xf numFmtId="0" fontId="6" fillId="11" borderId="4" xfId="0" applyFont="1" applyFill="1" applyBorder="1"/>
    <xf numFmtId="164" fontId="6" fillId="11" borderId="5" xfId="0" applyNumberFormat="1" applyFont="1" applyFill="1" applyBorder="1" applyAlignment="1">
      <alignment horizontal="right"/>
    </xf>
    <xf numFmtId="0" fontId="6" fillId="11" borderId="7" xfId="0" applyFont="1" applyFill="1" applyBorder="1"/>
    <xf numFmtId="164" fontId="6" fillId="11" borderId="0" xfId="0" applyNumberFormat="1" applyFont="1" applyFill="1" applyBorder="1" applyAlignment="1">
      <alignment horizontal="right"/>
    </xf>
    <xf numFmtId="0" fontId="6" fillId="11" borderId="9" xfId="0" applyFont="1" applyFill="1" applyBorder="1"/>
    <xf numFmtId="164" fontId="6" fillId="11" borderId="10" xfId="0" applyNumberFormat="1" applyFont="1" applyFill="1" applyBorder="1" applyAlignment="1">
      <alignment horizontal="right"/>
    </xf>
    <xf numFmtId="0" fontId="6" fillId="17" borderId="4" xfId="0" applyFont="1" applyFill="1" applyBorder="1"/>
    <xf numFmtId="164" fontId="6" fillId="17" borderId="5" xfId="0" applyNumberFormat="1" applyFont="1" applyFill="1" applyBorder="1" applyAlignment="1">
      <alignment horizontal="right"/>
    </xf>
    <xf numFmtId="3" fontId="6" fillId="17" borderId="5" xfId="0" applyNumberFormat="1" applyFont="1" applyFill="1" applyBorder="1"/>
    <xf numFmtId="0" fontId="6" fillId="17" borderId="7" xfId="0" applyFont="1" applyFill="1" applyBorder="1"/>
    <xf numFmtId="164" fontId="6" fillId="17" borderId="0" xfId="0" applyNumberFormat="1" applyFont="1" applyFill="1" applyBorder="1" applyAlignment="1">
      <alignment horizontal="right"/>
    </xf>
    <xf numFmtId="0" fontId="6" fillId="17" borderId="9" xfId="0" applyFont="1" applyFill="1" applyBorder="1"/>
    <xf numFmtId="164" fontId="6" fillId="17" borderId="10" xfId="0" applyNumberFormat="1" applyFont="1" applyFill="1" applyBorder="1" applyAlignment="1">
      <alignment horizontal="right"/>
    </xf>
    <xf numFmtId="165" fontId="2" fillId="6" borderId="17" xfId="1" applyNumberFormat="1" applyFont="1" applyFill="1" applyBorder="1"/>
    <xf numFmtId="165" fontId="2" fillId="0" borderId="17" xfId="1" applyNumberFormat="1" applyFont="1" applyFill="1" applyBorder="1"/>
    <xf numFmtId="165" fontId="2" fillId="7" borderId="17" xfId="1" applyNumberFormat="1" applyFont="1" applyFill="1" applyBorder="1"/>
    <xf numFmtId="165" fontId="2" fillId="8" borderId="17" xfId="1" applyNumberFormat="1" applyFont="1" applyFill="1" applyBorder="1"/>
    <xf numFmtId="0" fontId="2" fillId="0" borderId="17" xfId="0" applyFont="1" applyBorder="1"/>
    <xf numFmtId="0" fontId="2" fillId="5" borderId="0" xfId="0" applyFont="1" applyFill="1"/>
    <xf numFmtId="165" fontId="2" fillId="0" borderId="0" xfId="0" applyNumberFormat="1" applyFont="1" applyFill="1"/>
    <xf numFmtId="0" fontId="10" fillId="0" borderId="0" xfId="0" applyFont="1" applyFill="1" applyAlignment="1">
      <alignment horizontal="right"/>
    </xf>
    <xf numFmtId="164" fontId="6" fillId="8" borderId="1" xfId="0" applyNumberFormat="1" applyFont="1" applyFill="1" applyBorder="1" applyAlignment="1">
      <alignment horizontal="right" wrapText="1"/>
    </xf>
    <xf numFmtId="165" fontId="2" fillId="0" borderId="28" xfId="1" applyNumberFormat="1" applyFont="1" applyBorder="1"/>
    <xf numFmtId="9" fontId="0" fillId="0" borderId="1" xfId="3" applyFont="1" applyBorder="1"/>
    <xf numFmtId="165" fontId="2" fillId="0" borderId="1" xfId="1" applyNumberFormat="1" applyFont="1" applyFill="1" applyBorder="1"/>
    <xf numFmtId="164" fontId="27" fillId="4" borderId="2" xfId="0" applyNumberFormat="1" applyFont="1" applyFill="1" applyBorder="1" applyAlignment="1">
      <alignment horizontal="center" vertical="center" wrapText="1"/>
    </xf>
    <xf numFmtId="165" fontId="0" fillId="0" borderId="0" xfId="0" applyNumberFormat="1" applyFill="1"/>
    <xf numFmtId="43" fontId="0" fillId="0" borderId="0" xfId="0" applyNumberFormat="1"/>
    <xf numFmtId="0" fontId="10" fillId="11" borderId="0" xfId="0" applyFont="1" applyFill="1" applyBorder="1" applyAlignment="1">
      <alignment horizontal="right"/>
    </xf>
    <xf numFmtId="0" fontId="0" fillId="11" borderId="0" xfId="0" applyFill="1" applyBorder="1"/>
    <xf numFmtId="165" fontId="2" fillId="11" borderId="0" xfId="1" applyNumberFormat="1" applyFont="1" applyFill="1" applyBorder="1"/>
    <xf numFmtId="165" fontId="2" fillId="11" borderId="21" xfId="1" applyNumberFormat="1" applyFont="1" applyFill="1" applyBorder="1"/>
    <xf numFmtId="165" fontId="2" fillId="11" borderId="8" xfId="1" applyNumberFormat="1" applyFont="1" applyFill="1" applyBorder="1"/>
    <xf numFmtId="0" fontId="4" fillId="11" borderId="1" xfId="0" applyFont="1" applyFill="1" applyBorder="1" applyAlignment="1">
      <alignment horizontal="center" wrapText="1"/>
    </xf>
    <xf numFmtId="165" fontId="2" fillId="11" borderId="11" xfId="1" applyNumberFormat="1" applyFont="1" applyFill="1" applyBorder="1"/>
    <xf numFmtId="165" fontId="0" fillId="11" borderId="0" xfId="1" applyNumberFormat="1" applyFont="1" applyFill="1"/>
    <xf numFmtId="0" fontId="4" fillId="11" borderId="1" xfId="0" applyFont="1" applyFill="1" applyBorder="1" applyAlignment="1">
      <alignment horizontal="center"/>
    </xf>
    <xf numFmtId="165" fontId="0" fillId="11" borderId="11" xfId="1" applyNumberFormat="1" applyFont="1" applyFill="1" applyBorder="1"/>
    <xf numFmtId="165" fontId="2" fillId="11" borderId="1" xfId="1" applyNumberFormat="1" applyFont="1" applyFill="1" applyBorder="1"/>
    <xf numFmtId="165" fontId="28" fillId="0" borderId="12" xfId="1" applyNumberFormat="1" applyFont="1" applyFill="1" applyBorder="1"/>
    <xf numFmtId="165" fontId="28" fillId="6" borderId="12" xfId="1" applyNumberFormat="1" applyFont="1" applyFill="1" applyBorder="1"/>
    <xf numFmtId="165" fontId="29" fillId="6" borderId="12" xfId="1" applyNumberFormat="1" applyFont="1" applyFill="1" applyBorder="1"/>
    <xf numFmtId="165" fontId="29" fillId="0" borderId="12" xfId="1" applyNumberFormat="1" applyFont="1" applyFill="1" applyBorder="1"/>
    <xf numFmtId="165" fontId="30" fillId="6" borderId="12" xfId="1" applyNumberFormat="1" applyFont="1" applyFill="1" applyBorder="1"/>
    <xf numFmtId="165" fontId="30" fillId="0" borderId="12" xfId="1" applyNumberFormat="1" applyFont="1" applyFill="1" applyBorder="1"/>
    <xf numFmtId="0" fontId="7" fillId="0" borderId="12" xfId="0" applyFont="1" applyFill="1" applyBorder="1"/>
    <xf numFmtId="43" fontId="7" fillId="0" borderId="12" xfId="1" applyFont="1" applyFill="1" applyBorder="1"/>
    <xf numFmtId="42" fontId="2" fillId="18" borderId="1" xfId="2" applyNumberFormat="1" applyFont="1" applyFill="1" applyBorder="1"/>
    <xf numFmtId="165" fontId="2" fillId="5" borderId="0" xfId="0" applyNumberFormat="1" applyFont="1" applyFill="1" applyAlignment="1">
      <alignment wrapText="1"/>
    </xf>
    <xf numFmtId="165" fontId="2" fillId="6" borderId="1" xfId="1" applyNumberFormat="1" applyFont="1" applyFill="1" applyBorder="1"/>
    <xf numFmtId="0" fontId="10" fillId="0" borderId="0" xfId="0" applyFont="1" applyFill="1"/>
    <xf numFmtId="10" fontId="0" fillId="0" borderId="0" xfId="3" applyNumberFormat="1" applyFont="1"/>
    <xf numFmtId="165" fontId="4" fillId="6" borderId="1" xfId="1" applyNumberFormat="1" applyFont="1" applyFill="1" applyBorder="1"/>
    <xf numFmtId="165" fontId="4" fillId="0" borderId="1" xfId="1" applyNumberFormat="1" applyFont="1" applyFill="1" applyBorder="1"/>
    <xf numFmtId="165" fontId="4" fillId="0" borderId="1" xfId="1" applyNumberFormat="1" applyFont="1" applyFill="1" applyBorder="1" applyAlignment="1">
      <alignment wrapText="1"/>
    </xf>
    <xf numFmtId="0" fontId="31" fillId="0" borderId="0" xfId="0" applyFont="1"/>
    <xf numFmtId="9" fontId="0" fillId="0" borderId="0" xfId="3" applyFont="1"/>
    <xf numFmtId="0" fontId="0" fillId="0" borderId="1" xfId="0" applyBorder="1" applyAlignment="1">
      <alignment horizontal="left" wrapText="1"/>
    </xf>
    <xf numFmtId="166" fontId="6" fillId="17" borderId="6" xfId="3" applyNumberFormat="1" applyFont="1" applyFill="1" applyBorder="1"/>
    <xf numFmtId="167" fontId="6" fillId="17" borderId="0" xfId="2" applyNumberFormat="1" applyFont="1" applyFill="1" applyBorder="1"/>
    <xf numFmtId="167" fontId="6" fillId="17" borderId="8" xfId="2" applyNumberFormat="1" applyFont="1" applyFill="1" applyBorder="1"/>
    <xf numFmtId="165" fontId="0" fillId="0" borderId="0" xfId="0" applyNumberFormat="1"/>
    <xf numFmtId="165" fontId="0" fillId="6" borderId="1" xfId="1" applyNumberFormat="1" applyFont="1" applyFill="1" applyBorder="1"/>
    <xf numFmtId="0" fontId="14" fillId="0" borderId="1" xfId="0" applyFont="1" applyFill="1" applyBorder="1"/>
    <xf numFmtId="0" fontId="14" fillId="0" borderId="12" xfId="0" applyFont="1" applyFill="1" applyBorder="1"/>
    <xf numFmtId="0" fontId="14" fillId="0" borderId="12" xfId="0" applyFont="1" applyFill="1" applyBorder="1" applyAlignment="1">
      <alignment horizontal="center"/>
    </xf>
    <xf numFmtId="43" fontId="14" fillId="0" borderId="12" xfId="1" applyFont="1" applyFill="1" applyBorder="1"/>
    <xf numFmtId="0" fontId="0" fillId="0" borderId="4" xfId="0" applyFill="1" applyBorder="1"/>
    <xf numFmtId="165" fontId="26" fillId="5" borderId="0" xfId="0" applyNumberFormat="1" applyFont="1" applyFill="1"/>
    <xf numFmtId="165" fontId="2" fillId="12" borderId="1" xfId="1" applyNumberFormat="1" applyFont="1" applyFill="1" applyBorder="1"/>
    <xf numFmtId="165" fontId="0" fillId="0" borderId="5" xfId="1" applyNumberFormat="1" applyFont="1" applyFill="1" applyBorder="1"/>
    <xf numFmtId="165" fontId="0" fillId="0" borderId="20" xfId="1" applyNumberFormat="1" applyFont="1" applyFill="1" applyBorder="1"/>
    <xf numFmtId="165" fontId="0" fillId="0" borderId="0" xfId="1" applyNumberFormat="1" applyFont="1" applyFill="1" applyBorder="1"/>
    <xf numFmtId="0" fontId="5" fillId="5" borderId="1" xfId="0" applyFont="1" applyFill="1" applyBorder="1" applyAlignment="1">
      <alignment horizontal="left"/>
    </xf>
    <xf numFmtId="0" fontId="8" fillId="5" borderId="1" xfId="0" applyFont="1" applyFill="1" applyBorder="1" applyAlignment="1">
      <alignment horizontal="left"/>
    </xf>
    <xf numFmtId="165" fontId="6" fillId="3" borderId="1" xfId="2" applyNumberFormat="1" applyFont="1" applyFill="1" applyBorder="1" applyAlignment="1">
      <alignment horizontal="right"/>
    </xf>
    <xf numFmtId="165" fontId="4" fillId="0" borderId="1" xfId="0" applyNumberFormat="1" applyFont="1" applyBorder="1" applyAlignment="1">
      <alignment horizontal="center"/>
    </xf>
    <xf numFmtId="0" fontId="32" fillId="0" borderId="0" xfId="0" applyFont="1" applyAlignment="1">
      <alignment horizontal="left" wrapText="1"/>
    </xf>
    <xf numFmtId="10" fontId="0" fillId="0" borderId="3" xfId="3" applyNumberFormat="1" applyFont="1" applyBorder="1"/>
    <xf numFmtId="14" fontId="14" fillId="0" borderId="0" xfId="9" applyNumberFormat="1"/>
    <xf numFmtId="0" fontId="14" fillId="0" borderId="0" xfId="9" applyFont="1"/>
    <xf numFmtId="10" fontId="6" fillId="2" borderId="1" xfId="3" applyNumberFormat="1" applyFont="1" applyFill="1" applyBorder="1" applyAlignment="1">
      <alignment horizontal="right"/>
    </xf>
    <xf numFmtId="0" fontId="2" fillId="0" borderId="12" xfId="0" applyFont="1" applyBorder="1" applyAlignment="1">
      <alignment horizontal="right"/>
    </xf>
    <xf numFmtId="42" fontId="0" fillId="0" borderId="1" xfId="0" applyNumberFormat="1" applyBorder="1"/>
    <xf numFmtId="0" fontId="0" fillId="0" borderId="0" xfId="0"/>
    <xf numFmtId="0" fontId="0" fillId="0" borderId="0" xfId="0" applyFont="1"/>
    <xf numFmtId="165" fontId="0" fillId="0" borderId="0" xfId="1" applyNumberFormat="1" applyFont="1"/>
    <xf numFmtId="165" fontId="9" fillId="19" borderId="0" xfId="0" applyNumberFormat="1" applyFont="1" applyFill="1"/>
    <xf numFmtId="0" fontId="0" fillId="0" borderId="0" xfId="0" applyAlignment="1">
      <alignment horizontal="right"/>
    </xf>
    <xf numFmtId="165" fontId="0" fillId="19" borderId="0" xfId="0" applyNumberFormat="1" applyFill="1"/>
    <xf numFmtId="165" fontId="2" fillId="19" borderId="15" xfId="1" applyNumberFormat="1" applyFont="1" applyFill="1" applyBorder="1"/>
    <xf numFmtId="43" fontId="0" fillId="4" borderId="0" xfId="1" applyNumberFormat="1" applyFont="1" applyFill="1" applyBorder="1"/>
    <xf numFmtId="166" fontId="7" fillId="2" borderId="1" xfId="3" applyNumberFormat="1" applyFont="1" applyFill="1" applyBorder="1" applyAlignment="1">
      <alignment horizontal="right"/>
    </xf>
    <xf numFmtId="166" fontId="6" fillId="3" borderId="1" xfId="3" applyNumberFormat="1" applyFont="1" applyFill="1" applyBorder="1" applyAlignment="1">
      <alignment horizontal="right"/>
    </xf>
    <xf numFmtId="164" fontId="3" fillId="4" borderId="15" xfId="0" applyNumberFormat="1" applyFont="1" applyFill="1" applyBorder="1" applyAlignment="1">
      <alignment horizontal="center" vertical="center" wrapText="1"/>
    </xf>
    <xf numFmtId="164" fontId="27" fillId="4" borderId="15" xfId="0" applyNumberFormat="1" applyFont="1" applyFill="1" applyBorder="1" applyAlignment="1">
      <alignment horizontal="center" vertical="center" wrapText="1"/>
    </xf>
    <xf numFmtId="165" fontId="0" fillId="8" borderId="1" xfId="1" applyNumberFormat="1" applyFont="1" applyFill="1" applyBorder="1" applyAlignment="1">
      <alignment wrapText="1"/>
    </xf>
    <xf numFmtId="165" fontId="0" fillId="0" borderId="1" xfId="1" applyNumberFormat="1" applyFont="1" applyFill="1" applyBorder="1" applyAlignment="1">
      <alignment horizontal="center" wrapText="1"/>
    </xf>
    <xf numFmtId="0" fontId="0" fillId="0" borderId="0" xfId="0" applyAlignment="1">
      <alignment vertical="center"/>
    </xf>
    <xf numFmtId="0" fontId="11" fillId="0" borderId="0" xfId="0" applyFont="1" applyAlignment="1">
      <alignment vertical="center"/>
    </xf>
    <xf numFmtId="0" fontId="14" fillId="0" borderId="29" xfId="0" applyFont="1" applyFill="1" applyBorder="1"/>
    <xf numFmtId="0" fontId="14" fillId="0" borderId="30" xfId="0" applyFont="1" applyFill="1" applyBorder="1"/>
    <xf numFmtId="43" fontId="12" fillId="0" borderId="1" xfId="1" applyNumberFormat="1" applyFont="1" applyFill="1" applyBorder="1"/>
    <xf numFmtId="43" fontId="12" fillId="0" borderId="1" xfId="1" applyNumberFormat="1" applyFont="1" applyFill="1" applyBorder="1" applyAlignment="1">
      <alignment horizontal="center"/>
    </xf>
    <xf numFmtId="0" fontId="37" fillId="0" borderId="1" xfId="0" applyFont="1" applyFill="1" applyBorder="1"/>
    <xf numFmtId="0" fontId="38" fillId="0" borderId="1" xfId="0" applyFont="1" applyBorder="1"/>
    <xf numFmtId="165" fontId="4" fillId="16" borderId="12" xfId="1" applyNumberFormat="1" applyFont="1" applyFill="1" applyBorder="1"/>
    <xf numFmtId="0" fontId="0" fillId="0" borderId="0" xfId="0"/>
    <xf numFmtId="165" fontId="0" fillId="0" borderId="1" xfId="1" applyNumberFormat="1" applyFont="1" applyFill="1" applyBorder="1"/>
    <xf numFmtId="165" fontId="0" fillId="7" borderId="1" xfId="1" applyNumberFormat="1" applyFont="1" applyFill="1" applyBorder="1"/>
    <xf numFmtId="165" fontId="0" fillId="8" borderId="1" xfId="1" applyNumberFormat="1" applyFont="1" applyFill="1" applyBorder="1"/>
    <xf numFmtId="0" fontId="0" fillId="0" borderId="7" xfId="0" applyFill="1" applyBorder="1" applyAlignment="1">
      <alignment wrapText="1"/>
    </xf>
    <xf numFmtId="0" fontId="0" fillId="0" borderId="0" xfId="0" applyFill="1" applyAlignment="1">
      <alignment wrapText="1"/>
    </xf>
    <xf numFmtId="0" fontId="25" fillId="0" borderId="5" xfId="0" applyFont="1" applyBorder="1" applyAlignment="1">
      <alignment wrapText="1"/>
    </xf>
    <xf numFmtId="0" fontId="25" fillId="0" borderId="0" xfId="0" applyFont="1" applyBorder="1" applyAlignment="1">
      <alignment wrapText="1"/>
    </xf>
    <xf numFmtId="0" fontId="25" fillId="0" borderId="0" xfId="0" applyFont="1" applyAlignment="1"/>
    <xf numFmtId="42" fontId="0" fillId="5" borderId="0" xfId="0" applyNumberFormat="1" applyFill="1"/>
    <xf numFmtId="165" fontId="0" fillId="6" borderId="12" xfId="1" applyNumberFormat="1" applyFont="1" applyFill="1" applyBorder="1"/>
    <xf numFmtId="165" fontId="0" fillId="7" borderId="12" xfId="1" applyNumberFormat="1" applyFont="1" applyFill="1" applyBorder="1"/>
    <xf numFmtId="165" fontId="0" fillId="8" borderId="12" xfId="1" applyNumberFormat="1" applyFont="1" applyFill="1" applyBorder="1"/>
    <xf numFmtId="0" fontId="0" fillId="0" borderId="0" xfId="0"/>
    <xf numFmtId="0" fontId="14" fillId="0" borderId="0" xfId="0" applyFont="1" applyFill="1" applyBorder="1"/>
    <xf numFmtId="0" fontId="0" fillId="51" borderId="0" xfId="0" applyFill="1"/>
    <xf numFmtId="0" fontId="39" fillId="51" borderId="0" xfId="0" applyFont="1" applyFill="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0" fillId="0" borderId="0" xfId="0" applyFont="1" applyAlignment="1"/>
    <xf numFmtId="0" fontId="35" fillId="0" borderId="43" xfId="0" applyFont="1" applyBorder="1" applyAlignment="1">
      <alignment horizontal="center" vertical="center" wrapText="1"/>
    </xf>
    <xf numFmtId="3" fontId="35" fillId="0" borderId="43" xfId="0" applyNumberFormat="1" applyFont="1" applyBorder="1" applyAlignment="1">
      <alignment horizontal="center" vertical="center" wrapText="1"/>
    </xf>
    <xf numFmtId="0" fontId="36" fillId="53" borderId="43" xfId="0" applyFont="1" applyFill="1" applyBorder="1" applyAlignment="1">
      <alignment horizontal="left" vertical="center" wrapText="1"/>
    </xf>
    <xf numFmtId="0" fontId="35" fillId="53" borderId="43" xfId="0" applyFont="1" applyFill="1" applyBorder="1" applyAlignment="1">
      <alignment horizontal="center" vertical="center" wrapText="1"/>
    </xf>
    <xf numFmtId="3" fontId="35" fillId="53" borderId="43" xfId="0" applyNumberFormat="1" applyFont="1" applyFill="1" applyBorder="1" applyAlignment="1">
      <alignment horizontal="center" vertical="center" wrapText="1"/>
    </xf>
    <xf numFmtId="0" fontId="36" fillId="54" borderId="43" xfId="0" applyFont="1" applyFill="1" applyBorder="1" applyAlignment="1">
      <alignment horizontal="right" wrapText="1"/>
    </xf>
    <xf numFmtId="0" fontId="35" fillId="54" borderId="43" xfId="0" applyFont="1" applyFill="1" applyBorder="1" applyAlignment="1">
      <alignment horizontal="center" wrapText="1"/>
    </xf>
    <xf numFmtId="10" fontId="6" fillId="11" borderId="0" xfId="3" applyNumberFormat="1" applyFont="1" applyFill="1" applyBorder="1"/>
    <xf numFmtId="10" fontId="6" fillId="11" borderId="8" xfId="3" applyNumberFormat="1" applyFont="1" applyFill="1" applyBorder="1"/>
    <xf numFmtId="10" fontId="6" fillId="8" borderId="0" xfId="3" applyNumberFormat="1" applyFont="1" applyFill="1" applyBorder="1"/>
    <xf numFmtId="10" fontId="6" fillId="8" borderId="8" xfId="3" applyNumberFormat="1" applyFont="1" applyFill="1" applyBorder="1"/>
    <xf numFmtId="164" fontId="6" fillId="8" borderId="9" xfId="0" applyNumberFormat="1" applyFont="1" applyFill="1" applyBorder="1" applyAlignment="1">
      <alignment horizontal="right"/>
    </xf>
    <xf numFmtId="10" fontId="6" fillId="17" borderId="0" xfId="3" applyNumberFormat="1" applyFont="1" applyFill="1" applyBorder="1"/>
    <xf numFmtId="10" fontId="6" fillId="17" borderId="8" xfId="3" applyNumberFormat="1" applyFont="1" applyFill="1" applyBorder="1"/>
    <xf numFmtId="164" fontId="6" fillId="11" borderId="15" xfId="0" applyNumberFormat="1" applyFont="1" applyFill="1" applyBorder="1" applyAlignment="1">
      <alignment horizontal="right"/>
    </xf>
    <xf numFmtId="164" fontId="6" fillId="17" borderId="15" xfId="0" applyNumberFormat="1" applyFont="1" applyFill="1" applyBorder="1" applyAlignment="1">
      <alignment horizontal="right"/>
    </xf>
    <xf numFmtId="0" fontId="6" fillId="11" borderId="1" xfId="0" applyNumberFormat="1" applyFont="1" applyFill="1" applyBorder="1" applyAlignment="1">
      <alignment horizontal="right" wrapText="1"/>
    </xf>
    <xf numFmtId="164" fontId="6" fillId="11" borderId="1" xfId="0" applyNumberFormat="1" applyFont="1" applyFill="1" applyBorder="1" applyAlignment="1">
      <alignment horizontal="right"/>
    </xf>
    <xf numFmtId="164" fontId="6" fillId="11" borderId="1" xfId="0" applyNumberFormat="1" applyFont="1" applyFill="1" applyBorder="1" applyAlignment="1">
      <alignment horizontal="right" wrapText="1"/>
    </xf>
    <xf numFmtId="0" fontId="0" fillId="0" borderId="0" xfId="0"/>
    <xf numFmtId="165" fontId="2" fillId="11" borderId="15" xfId="1" applyNumberFormat="1" applyFont="1" applyFill="1" applyBorder="1"/>
    <xf numFmtId="165" fontId="1" fillId="0" borderId="1" xfId="1" applyNumberFormat="1" applyFont="1" applyBorder="1"/>
    <xf numFmtId="10" fontId="0" fillId="0" borderId="1" xfId="3" applyNumberFormat="1" applyFont="1" applyBorder="1"/>
    <xf numFmtId="0" fontId="2" fillId="0" borderId="1" xfId="0" applyFont="1" applyBorder="1" applyAlignment="1">
      <alignment wrapText="1"/>
    </xf>
    <xf numFmtId="0" fontId="2" fillId="0" borderId="1" xfId="0" applyFont="1" applyBorder="1"/>
    <xf numFmtId="0" fontId="0" fillId="0" borderId="0" xfId="0"/>
    <xf numFmtId="0" fontId="0" fillId="0" borderId="1" xfId="0" applyBorder="1"/>
    <xf numFmtId="0" fontId="5" fillId="0" borderId="1" xfId="0" applyFont="1" applyBorder="1" applyAlignment="1">
      <alignment horizontal="left"/>
    </xf>
    <xf numFmtId="165" fontId="0" fillId="0" borderId="1" xfId="1" applyNumberFormat="1" applyFont="1" applyBorder="1"/>
    <xf numFmtId="0" fontId="0" fillId="0" borderId="0" xfId="0" applyFont="1"/>
    <xf numFmtId="10" fontId="6" fillId="8" borderId="0" xfId="0" applyNumberFormat="1" applyFont="1" applyFill="1" applyBorder="1"/>
    <xf numFmtId="165" fontId="0" fillId="11" borderId="1" xfId="1" applyNumberFormat="1" applyFont="1" applyFill="1" applyBorder="1"/>
    <xf numFmtId="10" fontId="7" fillId="2" borderId="1" xfId="3" applyNumberFormat="1" applyFont="1" applyFill="1" applyBorder="1" applyAlignment="1">
      <alignment horizontal="right"/>
    </xf>
    <xf numFmtId="165" fontId="0" fillId="11" borderId="3" xfId="1" applyNumberFormat="1" applyFont="1" applyFill="1" applyBorder="1"/>
    <xf numFmtId="165" fontId="0" fillId="11" borderId="28" xfId="1" applyNumberFormat="1" applyFont="1" applyFill="1" applyBorder="1"/>
    <xf numFmtId="165" fontId="0" fillId="11" borderId="15" xfId="1" applyNumberFormat="1" applyFont="1" applyFill="1" applyBorder="1"/>
    <xf numFmtId="165" fontId="1" fillId="0" borderId="1" xfId="1" applyNumberFormat="1" applyFont="1" applyFill="1" applyBorder="1"/>
    <xf numFmtId="165" fontId="14" fillId="0" borderId="12" xfId="1" applyNumberFormat="1" applyFont="1" applyFill="1" applyBorder="1"/>
    <xf numFmtId="0" fontId="0" fillId="5" borderId="0" xfId="0" applyFont="1" applyFill="1"/>
    <xf numFmtId="0" fontId="0" fillId="0" borderId="0" xfId="0" applyFont="1" applyFill="1"/>
    <xf numFmtId="165" fontId="0" fillId="0" borderId="0" xfId="0" applyNumberFormat="1" applyFont="1" applyFill="1" applyAlignment="1">
      <alignment horizontal="left"/>
    </xf>
    <xf numFmtId="165" fontId="7" fillId="7" borderId="1" xfId="1" applyNumberFormat="1" applyFont="1" applyFill="1" applyBorder="1"/>
    <xf numFmtId="0" fontId="11" fillId="0" borderId="1" xfId="0" applyFont="1" applyBorder="1" applyAlignment="1">
      <alignment wrapText="1"/>
    </xf>
    <xf numFmtId="165" fontId="7" fillId="6" borderId="1" xfId="1" applyNumberFormat="1" applyFont="1" applyFill="1" applyBorder="1"/>
    <xf numFmtId="165" fontId="7" fillId="8" borderId="1" xfId="1" applyNumberFormat="1" applyFont="1" applyFill="1" applyBorder="1"/>
    <xf numFmtId="0" fontId="7" fillId="0" borderId="1" xfId="0" applyFont="1" applyBorder="1" applyAlignment="1">
      <alignment wrapText="1"/>
    </xf>
    <xf numFmtId="0" fontId="26" fillId="11" borderId="1" xfId="0" applyFont="1" applyFill="1" applyBorder="1" applyAlignment="1">
      <alignment horizontal="center"/>
    </xf>
    <xf numFmtId="0" fontId="0" fillId="11" borderId="1" xfId="0" applyFill="1" applyBorder="1" applyAlignment="1">
      <alignment wrapText="1"/>
    </xf>
    <xf numFmtId="0" fontId="26" fillId="11" borderId="1" xfId="0" applyFont="1" applyFill="1" applyBorder="1"/>
    <xf numFmtId="0" fontId="15" fillId="0" borderId="12" xfId="0" applyFont="1" applyFill="1" applyBorder="1" applyAlignment="1">
      <alignment horizontal="right" wrapText="1"/>
    </xf>
    <xf numFmtId="0" fontId="14" fillId="5" borderId="7" xfId="0" applyFont="1" applyFill="1" applyBorder="1"/>
    <xf numFmtId="0" fontId="0" fillId="0" borderId="0" xfId="0" applyAlignment="1">
      <alignment horizontal="center"/>
    </xf>
    <xf numFmtId="0" fontId="0" fillId="0" borderId="0" xfId="0"/>
    <xf numFmtId="0" fontId="12" fillId="0" borderId="1" xfId="0" applyFont="1" applyFill="1" applyBorder="1" applyAlignment="1">
      <alignment wrapText="1"/>
    </xf>
    <xf numFmtId="170" fontId="0" fillId="7" borderId="1" xfId="1" applyNumberFormat="1" applyFont="1" applyFill="1" applyBorder="1"/>
    <xf numFmtId="0" fontId="0" fillId="16" borderId="1" xfId="0" applyFill="1" applyBorder="1" applyAlignment="1">
      <alignment vertical="center" wrapText="1"/>
    </xf>
    <xf numFmtId="0" fontId="0" fillId="16" borderId="1" xfId="0" applyFill="1" applyBorder="1" applyAlignment="1">
      <alignment wrapText="1"/>
    </xf>
    <xf numFmtId="0" fontId="0" fillId="0" borderId="1" xfId="0" applyFill="1" applyBorder="1" applyAlignment="1">
      <alignment horizontal="left" wrapText="1"/>
    </xf>
    <xf numFmtId="0" fontId="14" fillId="0" borderId="0" xfId="5" applyFont="1" applyAlignment="1">
      <alignment wrapText="1"/>
    </xf>
    <xf numFmtId="0" fontId="2" fillId="0" borderId="0" xfId="0" applyFont="1" applyFill="1"/>
    <xf numFmtId="0" fontId="12" fillId="0" borderId="0" xfId="0" applyFont="1" applyAlignment="1">
      <alignment horizontal="right"/>
    </xf>
    <xf numFmtId="0" fontId="12" fillId="0" borderId="12" xfId="0" applyFont="1" applyFill="1" applyBorder="1"/>
    <xf numFmtId="165" fontId="0" fillId="0" borderId="0" xfId="1" applyNumberFormat="1" applyFont="1" applyFill="1"/>
    <xf numFmtId="165" fontId="0" fillId="0" borderId="0" xfId="3" applyNumberFormat="1" applyFont="1" applyFill="1"/>
    <xf numFmtId="9" fontId="0" fillId="0" borderId="0" xfId="3" applyFont="1" applyFill="1"/>
    <xf numFmtId="1" fontId="0" fillId="0" borderId="0" xfId="0" applyNumberFormat="1"/>
    <xf numFmtId="14" fontId="17" fillId="0" borderId="0" xfId="5" applyNumberFormat="1" applyAlignment="1">
      <alignment vertical="top"/>
    </xf>
    <xf numFmtId="0" fontId="0" fillId="0" borderId="7" xfId="0" applyFill="1" applyBorder="1" applyAlignment="1"/>
    <xf numFmtId="165" fontId="2" fillId="11" borderId="44" xfId="1" applyNumberFormat="1" applyFont="1" applyFill="1" applyBorder="1"/>
    <xf numFmtId="165" fontId="2" fillId="11" borderId="10" xfId="1" applyNumberFormat="1" applyFont="1" applyFill="1" applyBorder="1"/>
    <xf numFmtId="0" fontId="10" fillId="0" borderId="0" xfId="0" applyFont="1" applyFill="1" applyBorder="1" applyAlignment="1">
      <alignment horizontal="right"/>
    </xf>
    <xf numFmtId="10" fontId="0" fillId="0" borderId="0" xfId="3" applyNumberFormat="1" applyFont="1" applyFill="1" applyBorder="1"/>
    <xf numFmtId="165" fontId="2" fillId="0" borderId="0" xfId="1" applyNumberFormat="1" applyFont="1" applyFill="1" applyBorder="1"/>
    <xf numFmtId="165" fontId="2" fillId="11" borderId="28" xfId="1" applyNumberFormat="1" applyFont="1" applyFill="1" applyBorder="1"/>
    <xf numFmtId="0" fontId="0" fillId="0" borderId="0" xfId="0" quotePrefix="1"/>
    <xf numFmtId="10" fontId="6" fillId="17" borderId="6" xfId="3" applyNumberFormat="1" applyFont="1" applyFill="1" applyBorder="1"/>
    <xf numFmtId="165" fontId="0" fillId="0" borderId="4" xfId="1" applyNumberFormat="1" applyFont="1" applyFill="1" applyBorder="1" applyAlignment="1">
      <alignment horizontal="left"/>
    </xf>
    <xf numFmtId="165" fontId="0" fillId="0" borderId="5" xfId="1" applyNumberFormat="1" applyFont="1" applyFill="1" applyBorder="1" applyAlignment="1">
      <alignment horizontal="left"/>
    </xf>
    <xf numFmtId="165" fontId="0" fillId="0" borderId="6" xfId="1" applyNumberFormat="1" applyFont="1" applyFill="1" applyBorder="1" applyAlignment="1">
      <alignment horizontal="left"/>
    </xf>
    <xf numFmtId="165" fontId="0" fillId="6" borderId="28" xfId="1" applyNumberFormat="1" applyFont="1" applyFill="1" applyBorder="1"/>
    <xf numFmtId="165" fontId="0" fillId="0" borderId="28" xfId="1" applyNumberFormat="1" applyFont="1" applyFill="1" applyBorder="1"/>
    <xf numFmtId="165" fontId="0" fillId="7" borderId="28" xfId="1" applyNumberFormat="1" applyFont="1" applyFill="1" applyBorder="1"/>
    <xf numFmtId="165" fontId="0" fillId="8" borderId="28" xfId="1" applyNumberFormat="1" applyFont="1" applyFill="1" applyBorder="1"/>
    <xf numFmtId="0" fontId="0" fillId="0" borderId="28" xfId="0" applyBorder="1"/>
    <xf numFmtId="0" fontId="4" fillId="0" borderId="10" xfId="0" applyFont="1" applyFill="1" applyBorder="1" applyAlignment="1">
      <alignment vertical="center"/>
    </xf>
    <xf numFmtId="165" fontId="2" fillId="0" borderId="19" xfId="1" applyNumberFormat="1" applyFont="1" applyFill="1" applyBorder="1"/>
    <xf numFmtId="0" fontId="0" fillId="0" borderId="0" xfId="0" applyAlignment="1">
      <alignment horizontal="center"/>
    </xf>
    <xf numFmtId="0" fontId="59" fillId="0" borderId="43" xfId="0" applyFont="1" applyBorder="1"/>
    <xf numFmtId="42" fontId="0" fillId="0" borderId="1" xfId="0" applyNumberFormat="1" applyBorder="1" applyAlignment="1">
      <alignment horizontal="center"/>
    </xf>
    <xf numFmtId="0" fontId="0" fillId="0" borderId="43" xfId="0" applyFont="1" applyBorder="1" applyAlignment="1"/>
    <xf numFmtId="0" fontId="0" fillId="0" borderId="43" xfId="0" applyFont="1" applyBorder="1" applyAlignment="1">
      <alignment wrapText="1"/>
    </xf>
    <xf numFmtId="0" fontId="4" fillId="0" borderId="10" xfId="0" applyFont="1" applyFill="1" applyBorder="1" applyAlignment="1">
      <alignment vertical="center" wrapText="1"/>
    </xf>
    <xf numFmtId="165" fontId="26" fillId="0" borderId="0" xfId="0" applyNumberFormat="1" applyFont="1" applyFill="1"/>
    <xf numFmtId="42" fontId="0" fillId="0" borderId="0" xfId="0" applyNumberFormat="1" applyFill="1"/>
    <xf numFmtId="0" fontId="0" fillId="56" borderId="0" xfId="0" applyFill="1"/>
    <xf numFmtId="3" fontId="34" fillId="0" borderId="0" xfId="0" applyNumberFormat="1" applyFont="1"/>
    <xf numFmtId="0" fontId="34" fillId="0" borderId="0" xfId="0" applyFont="1"/>
    <xf numFmtId="0" fontId="34" fillId="54" borderId="43" xfId="0" applyFont="1" applyFill="1" applyBorder="1" applyAlignment="1">
      <alignment horizontal="center"/>
    </xf>
    <xf numFmtId="3" fontId="35" fillId="54" borderId="43" xfId="0" applyNumberFormat="1" applyFont="1" applyFill="1" applyBorder="1"/>
    <xf numFmtId="0" fontId="0" fillId="0" borderId="1" xfId="0" applyFill="1" applyBorder="1" applyAlignment="1">
      <alignment horizontal="left" vertical="top" wrapText="1"/>
    </xf>
    <xf numFmtId="1" fontId="31" fillId="0" borderId="0" xfId="0" applyNumberFormat="1" applyFont="1"/>
    <xf numFmtId="1" fontId="0" fillId="19" borderId="0" xfId="0" applyNumberFormat="1" applyFill="1"/>
    <xf numFmtId="0" fontId="0" fillId="0" borderId="17" xfId="0" applyBorder="1" applyAlignment="1">
      <alignment wrapText="1"/>
    </xf>
    <xf numFmtId="9" fontId="0" fillId="12" borderId="1" xfId="3" applyNumberFormat="1" applyFont="1" applyFill="1" applyBorder="1"/>
    <xf numFmtId="165" fontId="2" fillId="12" borderId="0" xfId="0" applyNumberFormat="1" applyFont="1" applyFill="1"/>
    <xf numFmtId="0" fontId="0" fillId="0" borderId="0" xfId="0" applyAlignment="1">
      <alignment horizontal="right" wrapText="1"/>
    </xf>
    <xf numFmtId="0" fontId="14" fillId="0" borderId="1" xfId="0" applyFont="1" applyFill="1" applyBorder="1" applyAlignment="1">
      <alignment vertical="center" wrapText="1"/>
    </xf>
    <xf numFmtId="165" fontId="0" fillId="6" borderId="1" xfId="1" applyNumberFormat="1" applyFont="1" applyFill="1" applyBorder="1" applyAlignment="1">
      <alignment vertical="center"/>
    </xf>
    <xf numFmtId="165" fontId="0" fillId="0" borderId="1" xfId="1" applyNumberFormat="1" applyFont="1" applyBorder="1" applyAlignment="1">
      <alignment vertical="center"/>
    </xf>
    <xf numFmtId="165" fontId="0" fillId="7" borderId="1" xfId="1" applyNumberFormat="1" applyFont="1" applyFill="1" applyBorder="1" applyAlignment="1">
      <alignment vertical="center"/>
    </xf>
    <xf numFmtId="165" fontId="0" fillId="8" borderId="1" xfId="1" applyNumberFormat="1" applyFont="1" applyFill="1" applyBorder="1" applyAlignment="1">
      <alignment vertical="center"/>
    </xf>
    <xf numFmtId="165" fontId="62" fillId="51" borderId="0" xfId="0" applyNumberFormat="1" applyFont="1" applyFill="1"/>
    <xf numFmtId="165" fontId="0" fillId="51" borderId="0" xfId="0" applyNumberFormat="1" applyFill="1"/>
    <xf numFmtId="165" fontId="62" fillId="58" borderId="0" xfId="0" applyNumberFormat="1" applyFont="1" applyFill="1"/>
    <xf numFmtId="165" fontId="0" fillId="58" borderId="0" xfId="0" applyNumberFormat="1" applyFill="1"/>
    <xf numFmtId="0" fontId="0" fillId="51" borderId="10" xfId="0" applyFill="1" applyBorder="1" applyAlignment="1">
      <alignment horizontal="center" wrapText="1"/>
    </xf>
    <xf numFmtId="0" fontId="0" fillId="58" borderId="10" xfId="0" applyFill="1" applyBorder="1" applyAlignment="1">
      <alignment horizontal="center" wrapText="1"/>
    </xf>
    <xf numFmtId="0" fontId="0" fillId="59" borderId="22" xfId="0" applyFill="1" applyBorder="1" applyAlignment="1">
      <alignment horizontal="center" wrapText="1"/>
    </xf>
    <xf numFmtId="165" fontId="62" fillId="59" borderId="21" xfId="0" applyNumberFormat="1" applyFont="1" applyFill="1" applyBorder="1"/>
    <xf numFmtId="0" fontId="0" fillId="57" borderId="22" xfId="0" applyFill="1" applyBorder="1" applyAlignment="1">
      <alignment horizontal="center" wrapText="1"/>
    </xf>
    <xf numFmtId="165" fontId="62" fillId="57" borderId="21" xfId="0" applyNumberFormat="1" applyFont="1" applyFill="1" applyBorder="1"/>
    <xf numFmtId="165" fontId="0" fillId="59" borderId="21" xfId="1" applyNumberFormat="1" applyFont="1" applyFill="1" applyBorder="1"/>
    <xf numFmtId="165" fontId="0" fillId="57" borderId="21" xfId="1" applyNumberFormat="1" applyFont="1" applyFill="1" applyBorder="1"/>
    <xf numFmtId="10" fontId="6" fillId="11" borderId="0" xfId="0" applyNumberFormat="1" applyFont="1" applyFill="1" applyBorder="1"/>
    <xf numFmtId="0" fontId="25" fillId="0" borderId="1" xfId="0" applyFont="1" applyFill="1" applyBorder="1" applyAlignment="1">
      <alignment wrapText="1"/>
    </xf>
    <xf numFmtId="9" fontId="12" fillId="0" borderId="0" xfId="3" applyFont="1"/>
    <xf numFmtId="9" fontId="0" fillId="0" borderId="0" xfId="0" applyNumberFormat="1" applyFill="1" applyAlignment="1">
      <alignment wrapText="1"/>
    </xf>
    <xf numFmtId="43" fontId="12" fillId="0" borderId="0" xfId="1" applyFont="1"/>
    <xf numFmtId="0" fontId="0" fillId="0" borderId="0" xfId="0" quotePrefix="1" applyFill="1"/>
    <xf numFmtId="165" fontId="14" fillId="6" borderId="12" xfId="1" applyNumberFormat="1" applyFont="1" applyFill="1" applyBorder="1"/>
    <xf numFmtId="165" fontId="1" fillId="6" borderId="1" xfId="1" applyNumberFormat="1" applyFont="1" applyFill="1" applyBorder="1"/>
    <xf numFmtId="165" fontId="14" fillId="0" borderId="12" xfId="1" applyNumberFormat="1" applyFont="1" applyFill="1" applyBorder="1" applyAlignment="1"/>
    <xf numFmtId="0" fontId="0" fillId="0" borderId="7" xfId="0" applyFill="1" applyBorder="1" applyAlignment="1">
      <alignment vertical="top" wrapText="1"/>
    </xf>
    <xf numFmtId="10" fontId="6" fillId="5" borderId="8" xfId="3" applyNumberFormat="1" applyFont="1" applyFill="1" applyBorder="1" applyAlignment="1">
      <alignment horizontal="right"/>
    </xf>
    <xf numFmtId="164" fontId="6" fillId="0" borderId="1" xfId="0" applyNumberFormat="1" applyFont="1" applyBorder="1" applyAlignment="1">
      <alignment horizontal="right" wrapText="1"/>
    </xf>
    <xf numFmtId="10" fontId="6" fillId="19" borderId="0" xfId="3" applyNumberFormat="1" applyFont="1" applyFill="1" applyAlignment="1">
      <alignment horizontal="right"/>
    </xf>
    <xf numFmtId="171" fontId="0" fillId="0" borderId="0" xfId="0" applyNumberFormat="1" applyFill="1"/>
    <xf numFmtId="0" fontId="0" fillId="19" borderId="0" xfId="0" applyFill="1"/>
    <xf numFmtId="0" fontId="0" fillId="60" borderId="10" xfId="0" applyFill="1" applyBorder="1" applyAlignment="1">
      <alignment horizontal="center" wrapText="1"/>
    </xf>
    <xf numFmtId="165" fontId="62" fillId="60" borderId="0" xfId="0" applyNumberFormat="1" applyFont="1" applyFill="1"/>
    <xf numFmtId="165" fontId="0" fillId="60" borderId="0" xfId="0" applyNumberFormat="1" applyFill="1"/>
    <xf numFmtId="0" fontId="0" fillId="0" borderId="0" xfId="0" applyAlignment="1">
      <alignment horizontal="center"/>
    </xf>
    <xf numFmtId="0" fontId="0" fillId="0" borderId="0" xfId="0" applyAlignment="1">
      <alignment vertical="top" wrapText="1"/>
    </xf>
    <xf numFmtId="0" fontId="6" fillId="8" borderId="6" xfId="0" applyFont="1" applyFill="1" applyBorder="1"/>
    <xf numFmtId="0" fontId="6" fillId="11" borderId="6" xfId="0" applyFont="1" applyFill="1" applyBorder="1"/>
    <xf numFmtId="3" fontId="6" fillId="8" borderId="6" xfId="0" applyNumberFormat="1" applyFont="1" applyFill="1" applyBorder="1"/>
    <xf numFmtId="3" fontId="6" fillId="17" borderId="6" xfId="0" applyNumberFormat="1" applyFont="1" applyFill="1" applyBorder="1"/>
    <xf numFmtId="0" fontId="6" fillId="17" borderId="6" xfId="0" applyFont="1" applyFill="1" applyBorder="1"/>
    <xf numFmtId="14" fontId="14" fillId="0" borderId="0" xfId="5" applyNumberFormat="1" applyFont="1" applyAlignment="1">
      <alignment horizontal="right"/>
    </xf>
    <xf numFmtId="0" fontId="0" fillId="0" borderId="0" xfId="0" applyFill="1" applyAlignment="1">
      <alignment vertical="top" wrapText="1"/>
    </xf>
    <xf numFmtId="0" fontId="14" fillId="0" borderId="0" xfId="9" applyFont="1" applyAlignment="1">
      <alignment wrapText="1"/>
    </xf>
    <xf numFmtId="0" fontId="5" fillId="0" borderId="15" xfId="0" applyFont="1" applyFill="1" applyBorder="1" applyAlignment="1">
      <alignment horizontal="right" wrapText="1"/>
    </xf>
    <xf numFmtId="165" fontId="1" fillId="11" borderId="1" xfId="1" applyNumberFormat="1" applyFont="1" applyFill="1" applyBorder="1"/>
    <xf numFmtId="165" fontId="1" fillId="0" borderId="0" xfId="1" applyNumberFormat="1" applyFont="1" applyFill="1" applyBorder="1"/>
    <xf numFmtId="165" fontId="0" fillId="0" borderId="7" xfId="0" applyNumberFormat="1" applyBorder="1"/>
    <xf numFmtId="9" fontId="0" fillId="0" borderId="0" xfId="0" applyNumberFormat="1"/>
    <xf numFmtId="171" fontId="0" fillId="0" borderId="0" xfId="0" applyNumberFormat="1"/>
    <xf numFmtId="43" fontId="0" fillId="0" borderId="0" xfId="1" applyFont="1"/>
    <xf numFmtId="0" fontId="0" fillId="0" borderId="0" xfId="0" applyFont="1" applyFill="1" applyAlignment="1"/>
    <xf numFmtId="3" fontId="0" fillId="0" borderId="0" xfId="0" applyNumberFormat="1" applyFont="1" applyAlignment="1"/>
    <xf numFmtId="3" fontId="34" fillId="0" borderId="0" xfId="0" quotePrefix="1" applyNumberFormat="1" applyFont="1"/>
    <xf numFmtId="165" fontId="0" fillId="0" borderId="0" xfId="1" applyNumberFormat="1" applyFont="1" applyAlignment="1"/>
    <xf numFmtId="0" fontId="34" fillId="0" borderId="0" xfId="0" applyFont="1" applyAlignment="1"/>
    <xf numFmtId="165" fontId="62" fillId="0" borderId="0" xfId="1" applyNumberFormat="1" applyFont="1" applyAlignment="1"/>
    <xf numFmtId="165" fontId="0" fillId="0" borderId="0" xfId="0" applyNumberFormat="1" applyFont="1" applyAlignment="1"/>
    <xf numFmtId="3" fontId="31" fillId="0" borderId="0" xfId="0" applyNumberFormat="1" applyFont="1" applyAlignment="1"/>
    <xf numFmtId="165" fontId="62" fillId="0" borderId="0" xfId="0" applyNumberFormat="1" applyFont="1" applyAlignment="1"/>
    <xf numFmtId="0" fontId="0" fillId="0" borderId="0" xfId="0" applyFont="1" applyAlignment="1">
      <alignment horizontal="center"/>
    </xf>
    <xf numFmtId="166" fontId="0" fillId="0" borderId="0" xfId="3" applyNumberFormat="1" applyFont="1"/>
    <xf numFmtId="165" fontId="0" fillId="0" borderId="0" xfId="0" applyNumberFormat="1" applyAlignment="1">
      <alignment horizontal="left"/>
    </xf>
    <xf numFmtId="164" fontId="6" fillId="5" borderId="1" xfId="0" applyNumberFormat="1" applyFont="1" applyFill="1" applyBorder="1" applyAlignment="1">
      <alignment horizontal="right"/>
    </xf>
    <xf numFmtId="1" fontId="0" fillId="5" borderId="0" xfId="0" applyNumberFormat="1" applyFill="1"/>
    <xf numFmtId="0" fontId="31" fillId="0" borderId="0" xfId="0" applyFont="1" applyAlignment="1">
      <alignment horizontal="center"/>
    </xf>
    <xf numFmtId="0" fontId="14" fillId="0" borderId="1" xfId="0" applyFont="1" applyFill="1" applyBorder="1" applyAlignment="1"/>
    <xf numFmtId="165" fontId="0" fillId="0" borderId="17" xfId="0" applyNumberFormat="1" applyBorder="1" applyAlignment="1">
      <alignment wrapText="1"/>
    </xf>
    <xf numFmtId="0" fontId="59" fillId="0" borderId="43" xfId="8" applyFont="1" applyBorder="1" applyAlignment="1"/>
    <xf numFmtId="0" fontId="59" fillId="0" borderId="43" xfId="8" applyFont="1" applyBorder="1" applyAlignment="1">
      <alignment horizontal="center"/>
    </xf>
    <xf numFmtId="43" fontId="59" fillId="0" borderId="43" xfId="8" applyNumberFormat="1" applyFont="1" applyBorder="1" applyAlignment="1"/>
    <xf numFmtId="43" fontId="59" fillId="0" borderId="43" xfId="8" applyNumberFormat="1" applyFont="1" applyBorder="1" applyAlignment="1">
      <alignment horizontal="center"/>
    </xf>
    <xf numFmtId="0" fontId="14" fillId="0" borderId="43" xfId="8" applyFont="1" applyBorder="1" applyAlignment="1"/>
    <xf numFmtId="0" fontId="14" fillId="0" borderId="40" xfId="8" applyFont="1" applyBorder="1" applyAlignment="1"/>
    <xf numFmtId="0" fontId="63" fillId="0" borderId="43" xfId="8" applyFont="1" applyBorder="1" applyAlignment="1">
      <alignment wrapText="1"/>
    </xf>
    <xf numFmtId="0" fontId="59" fillId="0" borderId="43" xfId="8" applyFont="1" applyBorder="1" applyAlignment="1">
      <alignment wrapText="1"/>
    </xf>
    <xf numFmtId="0" fontId="25" fillId="0" borderId="1" xfId="0" applyFont="1" applyBorder="1"/>
    <xf numFmtId="0" fontId="19" fillId="0" borderId="0" xfId="0" applyFont="1" applyFill="1"/>
    <xf numFmtId="0" fontId="4" fillId="0" borderId="7" xfId="0" applyFont="1" applyFill="1" applyBorder="1" applyAlignment="1">
      <alignment vertical="center"/>
    </xf>
    <xf numFmtId="10" fontId="0" fillId="0" borderId="0" xfId="0" applyNumberFormat="1"/>
    <xf numFmtId="172" fontId="0" fillId="0" borderId="0" xfId="0" applyNumberFormat="1"/>
    <xf numFmtId="165" fontId="2" fillId="11" borderId="6" xfId="1" applyNumberFormat="1" applyFont="1" applyFill="1" applyBorder="1"/>
    <xf numFmtId="165" fontId="0" fillId="4" borderId="11" xfId="1" applyNumberFormat="1" applyFont="1" applyFill="1" applyBorder="1"/>
    <xf numFmtId="0" fontId="0" fillId="0" borderId="0" xfId="0" applyAlignment="1">
      <alignment horizontal="center"/>
    </xf>
    <xf numFmtId="1" fontId="0" fillId="0" borderId="0" xfId="0" applyNumberFormat="1" applyFill="1"/>
    <xf numFmtId="166" fontId="0" fillId="0" borderId="0" xfId="3" applyNumberFormat="1" applyFont="1" applyFill="1"/>
    <xf numFmtId="1" fontId="31" fillId="0" borderId="0" xfId="0" applyNumberFormat="1" applyFont="1" applyFill="1"/>
    <xf numFmtId="41" fontId="0" fillId="19" borderId="0" xfId="0" applyNumberFormat="1" applyFill="1"/>
    <xf numFmtId="41" fontId="0" fillId="5" borderId="0" xfId="0" applyNumberFormat="1" applyFill="1"/>
    <xf numFmtId="165" fontId="0" fillId="19" borderId="10" xfId="0" applyNumberFormat="1" applyFill="1" applyBorder="1"/>
    <xf numFmtId="0" fontId="0" fillId="0" borderId="0" xfId="0" applyAlignment="1">
      <alignment wrapText="1"/>
    </xf>
    <xf numFmtId="0" fontId="0" fillId="0" borderId="0" xfId="0" applyAlignment="1">
      <alignment horizontal="center"/>
    </xf>
    <xf numFmtId="0" fontId="4" fillId="11" borderId="1" xfId="0" applyFont="1" applyFill="1" applyBorder="1" applyAlignment="1">
      <alignment vertical="center" wrapText="1"/>
    </xf>
    <xf numFmtId="0" fontId="0" fillId="12" borderId="28" xfId="0" applyFill="1" applyBorder="1" applyAlignment="1">
      <alignment wrapText="1"/>
    </xf>
    <xf numFmtId="0" fontId="0" fillId="12" borderId="15" xfId="0" applyFill="1" applyBorder="1" applyAlignment="1">
      <alignment wrapText="1"/>
    </xf>
    <xf numFmtId="0" fontId="0" fillId="0" borderId="1" xfId="0" applyBorder="1" applyAlignment="1"/>
    <xf numFmtId="0" fontId="4" fillId="11" borderId="1" xfId="0" applyFont="1" applyFill="1" applyBorder="1" applyAlignment="1">
      <alignment horizontal="left" vertical="center" wrapText="1"/>
    </xf>
    <xf numFmtId="165" fontId="14" fillId="0" borderId="1" xfId="1" applyNumberFormat="1" applyFont="1" applyFill="1" applyBorder="1"/>
    <xf numFmtId="14" fontId="14" fillId="0" borderId="0" xfId="9" applyNumberFormat="1" applyAlignment="1">
      <alignment vertical="top"/>
    </xf>
    <xf numFmtId="0" fontId="4" fillId="5" borderId="1" xfId="0" applyFont="1" applyFill="1" applyBorder="1" applyAlignment="1">
      <alignment horizontal="right"/>
    </xf>
    <xf numFmtId="0" fontId="11" fillId="0" borderId="0" xfId="0" applyFont="1"/>
    <xf numFmtId="43" fontId="0" fillId="0" borderId="0" xfId="1" applyFont="1" applyAlignment="1"/>
    <xf numFmtId="43" fontId="0" fillId="0" borderId="0" xfId="0" applyNumberFormat="1" applyFont="1" applyAlignment="1"/>
    <xf numFmtId="43" fontId="0" fillId="0" borderId="10" xfId="1" applyFont="1" applyBorder="1" applyAlignment="1"/>
    <xf numFmtId="0" fontId="39" fillId="0" borderId="0" xfId="0" applyFont="1" applyAlignment="1">
      <alignment horizontal="center"/>
    </xf>
    <xf numFmtId="0" fontId="0" fillId="0" borderId="0" xfId="0" applyFill="1" applyBorder="1" applyAlignment="1">
      <alignment horizontal="right"/>
    </xf>
    <xf numFmtId="0" fontId="63" fillId="0" borderId="0" xfId="0" applyFont="1" applyFill="1" applyBorder="1" applyAlignment="1">
      <alignment horizontal="right"/>
    </xf>
    <xf numFmtId="165" fontId="63" fillId="0" borderId="0" xfId="0" applyNumberFormat="1" applyFont="1" applyFill="1" applyBorder="1"/>
    <xf numFmtId="165" fontId="63" fillId="0" borderId="0" xfId="53" applyNumberFormat="1" applyFont="1" applyFill="1" applyBorder="1"/>
    <xf numFmtId="0" fontId="0" fillId="0" borderId="1" xfId="0" applyBorder="1" applyAlignment="1">
      <alignment horizontal="left" vertical="top" wrapText="1"/>
    </xf>
    <xf numFmtId="10" fontId="6" fillId="5" borderId="0" xfId="0" applyNumberFormat="1" applyFont="1" applyFill="1" applyBorder="1"/>
    <xf numFmtId="14" fontId="14" fillId="0" borderId="0" xfId="5" applyNumberFormat="1" applyFont="1"/>
    <xf numFmtId="165" fontId="0" fillId="0" borderId="0" xfId="0" applyNumberFormat="1" applyFill="1" applyBorder="1"/>
    <xf numFmtId="165" fontId="61" fillId="0" borderId="0" xfId="0" applyNumberFormat="1" applyFont="1" applyFill="1" applyBorder="1"/>
    <xf numFmtId="0" fontId="0" fillId="58" borderId="22" xfId="0" applyFill="1" applyBorder="1" applyAlignment="1">
      <alignment horizontal="center" wrapText="1"/>
    </xf>
    <xf numFmtId="165" fontId="62" fillId="58" borderId="21" xfId="0" applyNumberFormat="1" applyFont="1" applyFill="1" applyBorder="1"/>
    <xf numFmtId="165" fontId="0" fillId="58" borderId="21" xfId="0" applyNumberFormat="1" applyFill="1" applyBorder="1"/>
    <xf numFmtId="0" fontId="0" fillId="0" borderId="0" xfId="0" applyFill="1" applyBorder="1" applyAlignment="1">
      <alignment vertical="top" wrapText="1"/>
    </xf>
    <xf numFmtId="0" fontId="0" fillId="55" borderId="0" xfId="0" applyFill="1"/>
    <xf numFmtId="0" fontId="14" fillId="0" borderId="1" xfId="0" applyFont="1" applyBorder="1"/>
    <xf numFmtId="0" fontId="2" fillId="0" borderId="0" xfId="0" applyFont="1"/>
    <xf numFmtId="0" fontId="30" fillId="16" borderId="0" xfId="0" applyFont="1" applyFill="1"/>
    <xf numFmtId="0" fontId="11" fillId="16" borderId="0" xfId="0" applyFont="1" applyFill="1" applyAlignment="1">
      <alignment wrapText="1"/>
    </xf>
    <xf numFmtId="0" fontId="11" fillId="0" borderId="0" xfId="0" applyFont="1" applyAlignment="1">
      <alignment wrapText="1"/>
    </xf>
    <xf numFmtId="0" fontId="58" fillId="0" borderId="1" xfId="0" applyFont="1" applyBorder="1" applyAlignment="1">
      <alignment wrapText="1"/>
    </xf>
    <xf numFmtId="0" fontId="66" fillId="0" borderId="1" xfId="0" applyFont="1" applyBorder="1" applyAlignment="1">
      <alignment wrapText="1"/>
    </xf>
    <xf numFmtId="0" fontId="12" fillId="0" borderId="0" xfId="0" applyFont="1" applyAlignment="1">
      <alignment wrapText="1"/>
    </xf>
    <xf numFmtId="0" fontId="14" fillId="0" borderId="43" xfId="114" applyFont="1" applyBorder="1" applyAlignment="1"/>
    <xf numFmtId="0" fontId="0" fillId="0" borderId="1" xfId="0" applyBorder="1" applyAlignment="1">
      <alignment vertical="center" wrapText="1"/>
    </xf>
    <xf numFmtId="0" fontId="0" fillId="0" borderId="0" xfId="0" applyAlignment="1">
      <alignment wrapText="1"/>
    </xf>
    <xf numFmtId="0" fontId="10" fillId="0" borderId="1" xfId="0" applyFont="1" applyBorder="1" applyAlignment="1">
      <alignment wrapText="1"/>
    </xf>
    <xf numFmtId="0" fontId="58" fillId="0" borderId="1" xfId="0" applyFont="1" applyFill="1" applyBorder="1" applyAlignment="1">
      <alignment wrapText="1"/>
    </xf>
    <xf numFmtId="0" fontId="58" fillId="0" borderId="1" xfId="0" applyFont="1" applyBorder="1" applyAlignment="1">
      <alignment vertical="top" wrapText="1"/>
    </xf>
    <xf numFmtId="0" fontId="0" fillId="0" borderId="0" xfId="0" applyFill="1" applyAlignment="1">
      <alignment horizontal="left"/>
    </xf>
    <xf numFmtId="0" fontId="63" fillId="0" borderId="43" xfId="114" applyFont="1" applyBorder="1" applyAlignment="1">
      <alignment wrapText="1"/>
    </xf>
    <xf numFmtId="0" fontId="0" fillId="0" borderId="5" xfId="0" applyFont="1" applyBorder="1" applyAlignment="1">
      <alignment wrapText="1"/>
    </xf>
    <xf numFmtId="0" fontId="0" fillId="0" borderId="1" xfId="0" applyFont="1" applyBorder="1" applyAlignment="1">
      <alignment horizontal="left" vertical="top" wrapText="1"/>
    </xf>
    <xf numFmtId="0" fontId="0" fillId="0" borderId="7" xfId="0" applyBorder="1"/>
    <xf numFmtId="165" fontId="0" fillId="0" borderId="21" xfId="1" applyNumberFormat="1" applyFont="1" applyFill="1" applyBorder="1"/>
    <xf numFmtId="0" fontId="14" fillId="0" borderId="1" xfId="0" applyFont="1" applyBorder="1" applyAlignment="1">
      <alignment wrapText="1"/>
    </xf>
    <xf numFmtId="165" fontId="0" fillId="0" borderId="0" xfId="0" applyNumberFormat="1" applyFill="1" applyAlignment="1"/>
    <xf numFmtId="165" fontId="0" fillId="19" borderId="45" xfId="0" applyNumberFormat="1" applyFill="1" applyBorder="1"/>
    <xf numFmtId="165" fontId="0" fillId="61" borderId="0" xfId="0" applyNumberFormat="1" applyFill="1"/>
    <xf numFmtId="165" fontId="0" fillId="61" borderId="10" xfId="0" applyNumberFormat="1" applyFill="1" applyBorder="1"/>
    <xf numFmtId="165" fontId="0" fillId="61" borderId="45" xfId="0" applyNumberFormat="1" applyFill="1" applyBorder="1"/>
    <xf numFmtId="0" fontId="12" fillId="16" borderId="48" xfId="0" applyFont="1" applyFill="1" applyBorder="1"/>
    <xf numFmtId="0" fontId="12" fillId="16" borderId="50" xfId="0" applyFont="1" applyFill="1" applyBorder="1"/>
    <xf numFmtId="0" fontId="26" fillId="16" borderId="0" xfId="0" applyFont="1" applyFill="1"/>
    <xf numFmtId="0" fontId="12" fillId="14" borderId="52" xfId="0" applyFont="1" applyFill="1" applyBorder="1"/>
    <xf numFmtId="165" fontId="12" fillId="14" borderId="6" xfId="0" applyNumberFormat="1" applyFont="1" applyFill="1" applyBorder="1"/>
    <xf numFmtId="0" fontId="12" fillId="16" borderId="7" xfId="0" applyFont="1" applyFill="1" applyBorder="1"/>
    <xf numFmtId="0" fontId="12" fillId="16" borderId="0" xfId="0" applyFont="1" applyFill="1"/>
    <xf numFmtId="0" fontId="12" fillId="14" borderId="49" xfId="0" applyFont="1" applyFill="1" applyBorder="1"/>
    <xf numFmtId="165" fontId="12" fillId="14" borderId="8" xfId="0" applyNumberFormat="1" applyFont="1" applyFill="1" applyBorder="1"/>
    <xf numFmtId="0" fontId="12" fillId="14" borderId="51" xfId="0" applyFont="1" applyFill="1" applyBorder="1"/>
    <xf numFmtId="165" fontId="12" fillId="14" borderId="11" xfId="0" applyNumberFormat="1" applyFont="1" applyFill="1" applyBorder="1"/>
    <xf numFmtId="10" fontId="12" fillId="14" borderId="11" xfId="0" applyNumberFormat="1" applyFont="1" applyFill="1" applyBorder="1"/>
    <xf numFmtId="0" fontId="12" fillId="16" borderId="49" xfId="0" applyFont="1" applyFill="1" applyBorder="1"/>
    <xf numFmtId="0" fontId="12" fillId="16" borderId="49" xfId="0" applyFont="1" applyFill="1" applyBorder="1" applyAlignment="1">
      <alignment horizontal="left"/>
    </xf>
    <xf numFmtId="0" fontId="12" fillId="16" borderId="0" xfId="0" applyFont="1" applyFill="1" applyAlignment="1">
      <alignment horizontal="left"/>
    </xf>
    <xf numFmtId="0" fontId="26" fillId="16" borderId="49" xfId="0" applyFont="1" applyFill="1" applyBorder="1"/>
    <xf numFmtId="0" fontId="13" fillId="16" borderId="49" xfId="0" applyFont="1" applyFill="1" applyBorder="1"/>
    <xf numFmtId="0" fontId="12" fillId="16" borderId="53" xfId="0" applyFont="1" applyFill="1" applyBorder="1"/>
    <xf numFmtId="0" fontId="12" fillId="16" borderId="54" xfId="0" applyFont="1" applyFill="1" applyBorder="1"/>
    <xf numFmtId="0" fontId="12" fillId="16" borderId="54" xfId="0" applyFont="1" applyFill="1" applyBorder="1" applyAlignment="1">
      <alignment horizontal="center"/>
    </xf>
    <xf numFmtId="0" fontId="12" fillId="0" borderId="55" xfId="0" applyFont="1" applyBorder="1"/>
    <xf numFmtId="0" fontId="19" fillId="0" borderId="0" xfId="0" applyFont="1"/>
    <xf numFmtId="0" fontId="59" fillId="0" borderId="0" xfId="0" applyFont="1"/>
    <xf numFmtId="0" fontId="59" fillId="0" borderId="0" xfId="0" applyFont="1" applyAlignment="1">
      <alignment horizontal="center"/>
    </xf>
    <xf numFmtId="0" fontId="59" fillId="0" borderId="0" xfId="0" applyFont="1" applyAlignment="1">
      <alignment wrapText="1"/>
    </xf>
    <xf numFmtId="0" fontId="59" fillId="62" borderId="48" xfId="0" applyFont="1" applyFill="1" applyBorder="1"/>
    <xf numFmtId="0" fontId="59" fillId="62" borderId="50" xfId="0" applyFont="1" applyFill="1" applyBorder="1"/>
    <xf numFmtId="0" fontId="79" fillId="62" borderId="0" xfId="0" applyFont="1" applyFill="1"/>
    <xf numFmtId="0" fontId="59" fillId="63" borderId="52" xfId="0" applyFont="1" applyFill="1" applyBorder="1"/>
    <xf numFmtId="165" fontId="59" fillId="63" borderId="6" xfId="0" applyNumberFormat="1" applyFont="1" applyFill="1" applyBorder="1"/>
    <xf numFmtId="0" fontId="59" fillId="62" borderId="7" xfId="0" applyFont="1" applyFill="1" applyBorder="1"/>
    <xf numFmtId="0" fontId="59" fillId="62" borderId="0" xfId="0" applyFont="1" applyFill="1"/>
    <xf numFmtId="0" fontId="59" fillId="63" borderId="49" xfId="0" applyFont="1" applyFill="1" applyBorder="1"/>
    <xf numFmtId="165" fontId="59" fillId="63" borderId="8" xfId="0" applyNumberFormat="1" applyFont="1" applyFill="1" applyBorder="1"/>
    <xf numFmtId="0" fontId="59" fillId="63" borderId="51" xfId="0" applyFont="1" applyFill="1" applyBorder="1"/>
    <xf numFmtId="165" fontId="59" fillId="63" borderId="11" xfId="0" applyNumberFormat="1" applyFont="1" applyFill="1" applyBorder="1"/>
    <xf numFmtId="9" fontId="59" fillId="63" borderId="11" xfId="3" applyFont="1" applyFill="1" applyBorder="1"/>
    <xf numFmtId="0" fontId="59" fillId="62" borderId="49" xfId="0" applyFont="1" applyFill="1" applyBorder="1"/>
    <xf numFmtId="0" fontId="59" fillId="62" borderId="0" xfId="0" applyFont="1" applyFill="1" applyAlignment="1">
      <alignment horizontal="center"/>
    </xf>
    <xf numFmtId="0" fontId="59" fillId="62" borderId="49" xfId="0" applyFont="1" applyFill="1" applyBorder="1" applyAlignment="1">
      <alignment horizontal="left"/>
    </xf>
    <xf numFmtId="0" fontId="59" fillId="62" borderId="0" xfId="0" applyFont="1" applyFill="1" applyAlignment="1">
      <alignment horizontal="left"/>
    </xf>
    <xf numFmtId="0" fontId="79" fillId="62" borderId="49" xfId="0" applyFont="1" applyFill="1" applyBorder="1"/>
    <xf numFmtId="0" fontId="83" fillId="62" borderId="49" xfId="0" applyFont="1" applyFill="1" applyBorder="1"/>
    <xf numFmtId="0" fontId="59" fillId="62" borderId="53" xfId="0" applyFont="1" applyFill="1" applyBorder="1"/>
    <xf numFmtId="0" fontId="59" fillId="62" borderId="54" xfId="0" applyFont="1" applyFill="1" applyBorder="1"/>
    <xf numFmtId="0" fontId="59" fillId="62" borderId="54" xfId="0" applyFont="1" applyFill="1" applyBorder="1" applyAlignment="1">
      <alignment horizontal="center"/>
    </xf>
    <xf numFmtId="0" fontId="59" fillId="0" borderId="55" xfId="0" applyFont="1" applyBorder="1"/>
    <xf numFmtId="0" fontId="14" fillId="0" borderId="1" xfId="0" applyFont="1" applyBorder="1" applyAlignment="1">
      <alignment horizontal="center"/>
    </xf>
    <xf numFmtId="43" fontId="14" fillId="0" borderId="1" xfId="1" applyFont="1" applyBorder="1"/>
    <xf numFmtId="1" fontId="12" fillId="0" borderId="0" xfId="0" applyNumberFormat="1" applyFont="1"/>
    <xf numFmtId="0" fontId="11" fillId="0" borderId="1" xfId="0" applyFont="1" applyBorder="1" applyAlignment="1">
      <alignment vertical="top" wrapText="1"/>
    </xf>
    <xf numFmtId="0" fontId="14" fillId="0" borderId="12" xfId="0" applyFont="1" applyBorder="1"/>
    <xf numFmtId="0" fontId="7" fillId="0" borderId="1" xfId="0" applyFont="1" applyBorder="1" applyAlignment="1">
      <alignment vertical="top" wrapText="1"/>
    </xf>
    <xf numFmtId="0" fontId="0" fillId="65" borderId="0" xfId="0" applyFill="1"/>
    <xf numFmtId="0" fontId="14" fillId="0" borderId="43" xfId="8" applyFont="1" applyBorder="1" applyAlignment="1">
      <alignment wrapText="1"/>
    </xf>
    <xf numFmtId="0" fontId="0" fillId="0" borderId="43" xfId="0" applyBorder="1" applyAlignment="1">
      <alignment wrapText="1"/>
    </xf>
    <xf numFmtId="42" fontId="64" fillId="9" borderId="1" xfId="0" applyNumberFormat="1" applyFont="1" applyFill="1" applyBorder="1"/>
    <xf numFmtId="173" fontId="12" fillId="10" borderId="1" xfId="0" applyNumberFormat="1" applyFont="1" applyFill="1" applyBorder="1"/>
    <xf numFmtId="173" fontId="4" fillId="0" borderId="1" xfId="0" applyNumberFormat="1" applyFont="1" applyBorder="1"/>
    <xf numFmtId="0" fontId="11" fillId="0" borderId="0" xfId="0" applyFont="1" applyFill="1" applyBorder="1" applyAlignment="1">
      <alignment vertical="top" wrapText="1"/>
    </xf>
    <xf numFmtId="0" fontId="12" fillId="0" borderId="1" xfId="0" applyFont="1" applyBorder="1" applyAlignment="1">
      <alignment horizontal="center"/>
    </xf>
    <xf numFmtId="42" fontId="12" fillId="55" borderId="1" xfId="0" applyNumberFormat="1" applyFont="1" applyFill="1" applyBorder="1"/>
    <xf numFmtId="0" fontId="7" fillId="0" borderId="1" xfId="0" applyFont="1" applyBorder="1"/>
    <xf numFmtId="0" fontId="34" fillId="0" borderId="43" xfId="113" applyFont="1" applyBorder="1" applyAlignment="1">
      <alignment horizontal="left" wrapText="1"/>
    </xf>
    <xf numFmtId="0" fontId="34" fillId="0" borderId="43" xfId="113" applyFont="1" applyBorder="1" applyAlignment="1">
      <alignment horizontal="center" wrapText="1"/>
    </xf>
    <xf numFmtId="0" fontId="34" fillId="0" borderId="43" xfId="113" applyFont="1" applyBorder="1" applyAlignment="1">
      <alignment horizontal="center"/>
    </xf>
    <xf numFmtId="3" fontId="34" fillId="0" borderId="43" xfId="113" applyNumberFormat="1" applyFont="1" applyBorder="1" applyAlignment="1">
      <alignment vertical="top"/>
    </xf>
    <xf numFmtId="3" fontId="34" fillId="0" borderId="43" xfId="113" applyNumberFormat="1" applyFont="1" applyBorder="1" applyAlignment="1">
      <alignment horizontal="center"/>
    </xf>
    <xf numFmtId="3" fontId="64" fillId="0" borderId="0" xfId="113" applyNumberFormat="1" applyFont="1"/>
    <xf numFmtId="0" fontId="64" fillId="0" borderId="0" xfId="113" applyFont="1"/>
    <xf numFmtId="0" fontId="34" fillId="0" borderId="43" xfId="113" applyFont="1" applyBorder="1" applyAlignment="1">
      <alignment vertical="top" wrapText="1"/>
    </xf>
    <xf numFmtId="0" fontId="34" fillId="0" borderId="43" xfId="113" applyFont="1" applyBorder="1" applyAlignment="1">
      <alignment horizontal="center" vertical="top" wrapText="1"/>
    </xf>
    <xf numFmtId="3" fontId="34" fillId="0" borderId="43" xfId="113" applyNumberFormat="1" applyFont="1" applyBorder="1" applyAlignment="1">
      <alignment horizontal="right" vertical="top" wrapText="1"/>
    </xf>
    <xf numFmtId="0" fontId="34" fillId="0" borderId="43" xfId="113" applyFont="1" applyBorder="1" applyAlignment="1">
      <alignment horizontal="center" vertical="center" wrapText="1"/>
    </xf>
    <xf numFmtId="0" fontId="34" fillId="0" borderId="43" xfId="113" applyFont="1" applyBorder="1" applyAlignment="1">
      <alignment horizontal="center" vertical="center"/>
    </xf>
    <xf numFmtId="3" fontId="34" fillId="0" borderId="43" xfId="113" applyNumberFormat="1" applyFont="1" applyBorder="1" applyAlignment="1">
      <alignment vertical="center"/>
    </xf>
    <xf numFmtId="3" fontId="34" fillId="0" borderId="43" xfId="113" applyNumberFormat="1" applyFont="1" applyBorder="1" applyAlignment="1">
      <alignment horizontal="center" vertical="center"/>
    </xf>
    <xf numFmtId="0" fontId="35" fillId="0" borderId="43" xfId="113" applyFont="1" applyBorder="1" applyAlignment="1">
      <alignment horizontal="center" wrapText="1"/>
    </xf>
    <xf numFmtId="0" fontId="59" fillId="0" borderId="0" xfId="113"/>
    <xf numFmtId="0" fontId="5" fillId="0" borderId="1" xfId="0" applyFont="1" applyFill="1" applyBorder="1" applyAlignment="1">
      <alignment wrapText="1"/>
    </xf>
    <xf numFmtId="0" fontId="14" fillId="0" borderId="43" xfId="114" applyFont="1" applyBorder="1"/>
    <xf numFmtId="0" fontId="65" fillId="0" borderId="1" xfId="114" applyFont="1" applyBorder="1" applyAlignment="1">
      <alignment wrapText="1"/>
    </xf>
    <xf numFmtId="0" fontId="12" fillId="16" borderId="50" xfId="0" applyFont="1" applyFill="1" applyBorder="1" applyAlignment="1">
      <alignment wrapText="1"/>
    </xf>
    <xf numFmtId="0" fontId="14" fillId="0" borderId="12" xfId="0" applyFont="1" applyBorder="1" applyAlignment="1">
      <alignment horizontal="center"/>
    </xf>
    <xf numFmtId="0" fontId="15" fillId="0" borderId="12" xfId="0" applyFont="1" applyBorder="1" applyAlignment="1">
      <alignment horizontal="right"/>
    </xf>
    <xf numFmtId="8" fontId="12" fillId="0" borderId="0" xfId="0" applyNumberFormat="1" applyFont="1"/>
    <xf numFmtId="165" fontId="62" fillId="0" borderId="0" xfId="1" applyNumberFormat="1" applyFont="1"/>
    <xf numFmtId="165" fontId="26" fillId="65" borderId="0" xfId="0" applyNumberFormat="1" applyFont="1" applyFill="1"/>
    <xf numFmtId="0" fontId="12" fillId="65" borderId="0" xfId="0" applyFont="1" applyFill="1"/>
    <xf numFmtId="0" fontId="13" fillId="65" borderId="0" xfId="0" applyFont="1" applyFill="1" applyAlignment="1">
      <alignment horizontal="right"/>
    </xf>
    <xf numFmtId="0" fontId="14" fillId="0" borderId="12" xfId="0" applyFont="1" applyBorder="1" applyAlignment="1">
      <alignment wrapText="1"/>
    </xf>
    <xf numFmtId="0" fontId="12" fillId="0" borderId="12" xfId="0" applyFont="1" applyBorder="1"/>
    <xf numFmtId="0" fontId="14" fillId="0" borderId="9" xfId="0" applyFont="1" applyBorder="1"/>
    <xf numFmtId="0" fontId="14" fillId="0" borderId="9" xfId="0" applyFont="1" applyBorder="1" applyAlignment="1">
      <alignment horizontal="center"/>
    </xf>
    <xf numFmtId="0" fontId="4" fillId="0" borderId="9" xfId="0" applyFont="1" applyBorder="1"/>
    <xf numFmtId="0" fontId="4" fillId="0" borderId="9" xfId="0" applyFont="1" applyBorder="1" applyAlignment="1">
      <alignment horizontal="center"/>
    </xf>
    <xf numFmtId="0" fontId="14" fillId="0" borderId="0" xfId="9"/>
    <xf numFmtId="0" fontId="15" fillId="17" borderId="0" xfId="0" applyFont="1" applyFill="1" applyAlignment="1">
      <alignment horizontal="left" wrapText="1"/>
    </xf>
    <xf numFmtId="0" fontId="15" fillId="17" borderId="0" xfId="0" applyFont="1" applyFill="1" applyAlignment="1">
      <alignment horizontal="right" wrapText="1"/>
    </xf>
    <xf numFmtId="10" fontId="6" fillId="17" borderId="5" xfId="3" applyNumberFormat="1" applyFont="1" applyFill="1" applyBorder="1"/>
    <xf numFmtId="0" fontId="14" fillId="0" borderId="0" xfId="5" applyFont="1" applyFill="1" applyAlignment="1">
      <alignment wrapText="1"/>
    </xf>
    <xf numFmtId="0" fontId="0" fillId="0" borderId="0" xfId="0" applyAlignment="1">
      <alignment horizontal="center"/>
    </xf>
    <xf numFmtId="0" fontId="0" fillId="0" borderId="0" xfId="0" applyAlignment="1">
      <alignment horizontal="left"/>
    </xf>
    <xf numFmtId="165" fontId="30" fillId="0" borderId="1" xfId="1" applyNumberFormat="1" applyFont="1" applyBorder="1"/>
    <xf numFmtId="0" fontId="26" fillId="16" borderId="0" xfId="0" applyFont="1" applyFill="1" applyAlignment="1">
      <alignment horizontal="left" vertical="top"/>
    </xf>
    <xf numFmtId="0" fontId="12" fillId="16" borderId="0" xfId="0" applyFont="1" applyFill="1" applyAlignment="1">
      <alignment horizontal="center"/>
    </xf>
    <xf numFmtId="0" fontId="0" fillId="0" borderId="0" xfId="0" applyAlignment="1">
      <alignment horizontal="center"/>
    </xf>
    <xf numFmtId="0" fontId="0" fillId="5" borderId="7" xfId="0" applyFill="1" applyBorder="1" applyAlignment="1">
      <alignment wrapText="1"/>
    </xf>
    <xf numFmtId="0" fontId="0" fillId="0" borderId="0" xfId="0" applyAlignment="1">
      <alignment horizontal="center"/>
    </xf>
    <xf numFmtId="165" fontId="26" fillId="55" borderId="0" xfId="0" applyNumberFormat="1" applyFont="1" applyFill="1"/>
    <xf numFmtId="42" fontId="0" fillId="55" borderId="0" xfId="0" applyNumberFormat="1" applyFill="1"/>
    <xf numFmtId="42" fontId="0" fillId="0" borderId="0" xfId="0" applyNumberFormat="1"/>
    <xf numFmtId="42" fontId="0" fillId="0" borderId="0" xfId="0" applyNumberFormat="1" applyAlignment="1">
      <alignment horizontal="center"/>
    </xf>
    <xf numFmtId="0" fontId="67" fillId="0" borderId="1" xfId="114" applyBorder="1" applyAlignment="1">
      <alignment wrapText="1"/>
    </xf>
    <xf numFmtId="0" fontId="6" fillId="11" borderId="5" xfId="0" applyFont="1" applyFill="1" applyBorder="1"/>
    <xf numFmtId="3" fontId="6" fillId="8" borderId="5" xfId="0" applyNumberFormat="1" applyFont="1" applyFill="1" applyBorder="1"/>
    <xf numFmtId="0" fontId="12" fillId="16" borderId="0" xfId="0" applyFont="1" applyFill="1" applyAlignment="1">
      <alignment horizontal="center"/>
    </xf>
    <xf numFmtId="0" fontId="0" fillId="0" borderId="0" xfId="0" applyAlignment="1">
      <alignment horizontal="center"/>
    </xf>
    <xf numFmtId="0" fontId="7" fillId="0" borderId="1" xfId="0" applyFont="1" applyFill="1" applyBorder="1" applyAlignment="1">
      <alignment vertical="top" wrapText="1"/>
    </xf>
    <xf numFmtId="0" fontId="0" fillId="0" borderId="0" xfId="0" applyAlignment="1">
      <alignment horizontal="center" wrapText="1"/>
    </xf>
    <xf numFmtId="165" fontId="0" fillId="0" borderId="0" xfId="0" applyNumberFormat="1" applyAlignment="1">
      <alignment wrapText="1"/>
    </xf>
    <xf numFmtId="0" fontId="4" fillId="0" borderId="7" xfId="0" applyFont="1" applyFill="1" applyBorder="1" applyAlignment="1">
      <alignment horizontal="center"/>
    </xf>
    <xf numFmtId="0" fontId="91" fillId="11" borderId="4" xfId="0" applyFont="1" applyFill="1" applyBorder="1"/>
    <xf numFmtId="164" fontId="91" fillId="11" borderId="5" xfId="0" applyNumberFormat="1" applyFont="1" applyFill="1" applyBorder="1" applyAlignment="1">
      <alignment horizontal="right"/>
    </xf>
    <xf numFmtId="0" fontId="91" fillId="11" borderId="5" xfId="0" applyFont="1" applyFill="1" applyBorder="1"/>
    <xf numFmtId="0" fontId="91" fillId="11" borderId="6" xfId="0" applyFont="1" applyFill="1" applyBorder="1"/>
    <xf numFmtId="0" fontId="91" fillId="11" borderId="7" xfId="0" applyFont="1" applyFill="1" applyBorder="1"/>
    <xf numFmtId="164" fontId="91" fillId="11" borderId="0" xfId="0" applyNumberFormat="1" applyFont="1" applyFill="1" applyAlignment="1">
      <alignment horizontal="right"/>
    </xf>
    <xf numFmtId="10" fontId="91" fillId="11" borderId="0" xfId="3" applyNumberFormat="1" applyFont="1" applyFill="1"/>
    <xf numFmtId="10" fontId="91" fillId="11" borderId="8" xfId="3" applyNumberFormat="1" applyFont="1" applyFill="1" applyBorder="1"/>
    <xf numFmtId="0" fontId="91" fillId="11" borderId="9" xfId="0" applyFont="1" applyFill="1" applyBorder="1"/>
    <xf numFmtId="164" fontId="91" fillId="11" borderId="10" xfId="0" applyNumberFormat="1" applyFont="1" applyFill="1" applyBorder="1" applyAlignment="1">
      <alignment horizontal="right"/>
    </xf>
    <xf numFmtId="164" fontId="91" fillId="11" borderId="15" xfId="0" applyNumberFormat="1" applyFont="1" applyFill="1" applyBorder="1" applyAlignment="1">
      <alignment horizontal="right"/>
    </xf>
    <xf numFmtId="0" fontId="2" fillId="0" borderId="0" xfId="0" applyFont="1" applyAlignment="1">
      <alignment horizontal="left"/>
    </xf>
    <xf numFmtId="10" fontId="6" fillId="11" borderId="0" xfId="0" applyNumberFormat="1" applyFont="1" applyFill="1" applyBorder="1" applyAlignment="1">
      <alignment horizontal="left" wrapText="1"/>
    </xf>
    <xf numFmtId="0" fontId="0" fillId="0" borderId="7" xfId="0" applyFont="1" applyBorder="1" applyAlignment="1">
      <alignment horizontal="left" wrapText="1"/>
    </xf>
    <xf numFmtId="0" fontId="0" fillId="0" borderId="0" xfId="0" applyFont="1" applyAlignment="1">
      <alignment horizontal="left" wrapText="1"/>
    </xf>
    <xf numFmtId="0" fontId="0" fillId="17" borderId="0" xfId="0" applyFill="1" applyAlignment="1">
      <alignment horizontal="left" vertical="top" wrapText="1"/>
    </xf>
    <xf numFmtId="0" fontId="72" fillId="16" borderId="49" xfId="0" applyFont="1" applyFill="1" applyBorder="1" applyAlignment="1">
      <alignment horizontal="left" vertical="top" wrapText="1"/>
    </xf>
    <xf numFmtId="0" fontId="72" fillId="16" borderId="0" xfId="0" applyFont="1" applyFill="1" applyAlignment="1">
      <alignment horizontal="left" vertical="top" wrapText="1"/>
    </xf>
    <xf numFmtId="0" fontId="72" fillId="0" borderId="30" xfId="0" applyFont="1" applyBorder="1" applyAlignment="1">
      <alignment horizontal="left" vertical="top" wrapText="1"/>
    </xf>
    <xf numFmtId="0" fontId="72" fillId="0" borderId="16" xfId="0" applyFont="1" applyBorder="1" applyAlignment="1">
      <alignment horizontal="left" vertical="top" wrapText="1"/>
    </xf>
    <xf numFmtId="0" fontId="72" fillId="0" borderId="14" xfId="0" applyFont="1" applyBorder="1" applyAlignment="1">
      <alignment horizontal="left" vertical="top" wrapText="1"/>
    </xf>
    <xf numFmtId="0" fontId="12" fillId="16" borderId="49" xfId="0" applyFont="1" applyFill="1" applyBorder="1" applyAlignment="1">
      <alignment horizontal="center"/>
    </xf>
    <xf numFmtId="0" fontId="12" fillId="16" borderId="0" xfId="0" applyFont="1" applyFill="1" applyAlignment="1">
      <alignment horizontal="center"/>
    </xf>
    <xf numFmtId="0" fontId="72" fillId="0" borderId="49" xfId="0" applyFont="1" applyBorder="1" applyAlignment="1">
      <alignment horizontal="left" vertical="top" wrapText="1"/>
    </xf>
    <xf numFmtId="0" fontId="72" fillId="0" borderId="0" xfId="0" applyFont="1" applyAlignment="1">
      <alignment horizontal="left" vertical="top" wrapText="1"/>
    </xf>
    <xf numFmtId="0" fontId="12" fillId="0" borderId="30" xfId="0" applyFont="1" applyBorder="1" applyAlignment="1">
      <alignment horizontal="left" vertical="top"/>
    </xf>
    <xf numFmtId="0" fontId="12" fillId="0" borderId="16" xfId="0" applyFont="1" applyBorder="1" applyAlignment="1">
      <alignment horizontal="left" vertical="top"/>
    </xf>
    <xf numFmtId="0" fontId="12" fillId="0" borderId="14" xfId="0" applyFont="1" applyBorder="1" applyAlignment="1">
      <alignment horizontal="left" vertical="top"/>
    </xf>
    <xf numFmtId="0" fontId="26" fillId="16" borderId="49" xfId="0" applyFont="1" applyFill="1" applyBorder="1" applyAlignment="1">
      <alignment horizontal="left" vertical="top"/>
    </xf>
    <xf numFmtId="0" fontId="26" fillId="16" borderId="0" xfId="0" applyFont="1" applyFill="1" applyAlignment="1">
      <alignment horizontal="left" vertical="top"/>
    </xf>
    <xf numFmtId="0" fontId="70" fillId="0" borderId="49" xfId="0" applyFont="1" applyBorder="1" applyAlignment="1">
      <alignment horizontal="left" vertical="top"/>
    </xf>
    <xf numFmtId="0" fontId="70" fillId="0" borderId="0" xfId="0" applyFont="1" applyAlignment="1">
      <alignment horizontal="left" vertical="top"/>
    </xf>
    <xf numFmtId="0" fontId="69" fillId="0" borderId="30" xfId="0" applyFont="1" applyBorder="1" applyAlignment="1">
      <alignment horizontal="left" vertical="top"/>
    </xf>
    <xf numFmtId="0" fontId="69" fillId="0" borderId="16" xfId="0" applyFont="1" applyBorder="1" applyAlignment="1">
      <alignment horizontal="left" vertical="top"/>
    </xf>
    <xf numFmtId="0" fontId="69" fillId="0" borderId="14" xfId="0" applyFont="1" applyBorder="1" applyAlignment="1">
      <alignment horizontal="left" vertical="top"/>
    </xf>
    <xf numFmtId="0" fontId="68" fillId="16" borderId="49" xfId="0" applyFont="1" applyFill="1" applyBorder="1" applyAlignment="1">
      <alignment horizontal="center"/>
    </xf>
    <xf numFmtId="0" fontId="68" fillId="16" borderId="0" xfId="0" applyFont="1" applyFill="1" applyAlignment="1">
      <alignment horizontal="center"/>
    </xf>
    <xf numFmtId="0" fontId="26" fillId="0" borderId="51" xfId="0" applyFont="1" applyBorder="1" applyAlignment="1">
      <alignment horizontal="left" vertical="top"/>
    </xf>
    <xf numFmtId="0" fontId="26" fillId="0" borderId="10" xfId="0" applyFont="1" applyBorder="1" applyAlignment="1">
      <alignment horizontal="left" vertical="top"/>
    </xf>
    <xf numFmtId="0" fontId="69" fillId="0" borderId="30" xfId="0" applyFont="1" applyBorder="1" applyAlignment="1">
      <alignment horizontal="left" vertical="top" wrapText="1"/>
    </xf>
    <xf numFmtId="0" fontId="69" fillId="0" borderId="16" xfId="0" applyFont="1" applyBorder="1" applyAlignment="1">
      <alignment horizontal="left" vertical="top" wrapText="1"/>
    </xf>
    <xf numFmtId="0" fontId="69" fillId="0" borderId="14" xfId="0" applyFont="1" applyBorder="1" applyAlignment="1">
      <alignment horizontal="left" vertical="top" wrapText="1"/>
    </xf>
    <xf numFmtId="0" fontId="18" fillId="0" borderId="0" xfId="0" applyFont="1" applyAlignment="1">
      <alignment horizontal="center"/>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0" xfId="0" applyFont="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6" fillId="0" borderId="4" xfId="5" applyFont="1" applyBorder="1" applyAlignment="1" applyProtection="1">
      <alignment horizontal="left" vertical="top" wrapText="1"/>
    </xf>
    <xf numFmtId="0" fontId="6" fillId="0" borderId="5" xfId="5" applyFont="1" applyBorder="1" applyAlignment="1" applyProtection="1">
      <alignment horizontal="left" vertical="top" wrapText="1"/>
    </xf>
    <xf numFmtId="0" fontId="6" fillId="0" borderId="6" xfId="5" applyFont="1" applyBorder="1" applyAlignment="1" applyProtection="1">
      <alignment horizontal="left" vertical="top" wrapText="1"/>
    </xf>
    <xf numFmtId="0" fontId="6" fillId="0" borderId="7" xfId="5" applyFont="1" applyBorder="1" applyAlignment="1" applyProtection="1">
      <alignment horizontal="left" vertical="top" wrapText="1"/>
    </xf>
    <xf numFmtId="0" fontId="6" fillId="0" borderId="0" xfId="5" applyFont="1" applyBorder="1" applyAlignment="1" applyProtection="1">
      <alignment horizontal="left" vertical="top" wrapText="1"/>
    </xf>
    <xf numFmtId="0" fontId="6" fillId="0" borderId="8" xfId="5" applyFont="1" applyBorder="1" applyAlignment="1" applyProtection="1">
      <alignment horizontal="left" vertical="top" wrapText="1"/>
    </xf>
    <xf numFmtId="0" fontId="6" fillId="0" borderId="9" xfId="5" applyFont="1" applyBorder="1" applyAlignment="1" applyProtection="1">
      <alignment horizontal="left" vertical="top" wrapText="1"/>
    </xf>
    <xf numFmtId="0" fontId="6" fillId="0" borderId="10" xfId="5" applyFont="1" applyBorder="1" applyAlignment="1" applyProtection="1">
      <alignment horizontal="left" vertical="top" wrapText="1"/>
    </xf>
    <xf numFmtId="0" fontId="6" fillId="0" borderId="11" xfId="5" applyFont="1" applyBorder="1" applyAlignment="1" applyProtection="1">
      <alignment horizontal="left" vertical="top" wrapText="1"/>
    </xf>
    <xf numFmtId="0" fontId="68" fillId="0" borderId="46" xfId="0" applyFont="1" applyBorder="1" applyAlignment="1">
      <alignment horizontal="center"/>
    </xf>
    <xf numFmtId="0" fontId="68" fillId="0" borderId="47" xfId="0" applyFont="1" applyBorder="1" applyAlignment="1">
      <alignment horizontal="center"/>
    </xf>
    <xf numFmtId="0" fontId="12" fillId="0" borderId="30" xfId="0" applyFont="1" applyBorder="1" applyAlignment="1">
      <alignment horizontal="left" vertical="top" wrapText="1"/>
    </xf>
    <xf numFmtId="0" fontId="12" fillId="0" borderId="16" xfId="0" applyFont="1" applyBorder="1" applyAlignment="1">
      <alignment horizontal="left" vertical="top" wrapText="1"/>
    </xf>
    <xf numFmtId="0" fontId="12" fillId="0" borderId="14" xfId="0" applyFont="1" applyBorder="1" applyAlignment="1">
      <alignment horizontal="left" vertical="top" wrapText="1"/>
    </xf>
    <xf numFmtId="0" fontId="60" fillId="0" borderId="0" xfId="0" applyFont="1" applyBorder="1" applyAlignment="1">
      <alignment horizontal="left" vertical="center" wrapText="1"/>
    </xf>
    <xf numFmtId="0" fontId="68" fillId="16" borderId="0" xfId="0" applyFont="1" applyFill="1" applyBorder="1" applyAlignment="1">
      <alignment horizontal="center"/>
    </xf>
    <xf numFmtId="0" fontId="0" fillId="0" borderId="0" xfId="0" applyAlignment="1">
      <alignment horizontal="right" wrapText="1"/>
    </xf>
    <xf numFmtId="0" fontId="0" fillId="0" borderId="0" xfId="0" applyAlignment="1">
      <alignment horizontal="left" wrapText="1"/>
    </xf>
    <xf numFmtId="0" fontId="74" fillId="0" borderId="30" xfId="0" applyFont="1" applyBorder="1" applyAlignment="1">
      <alignment horizontal="left" vertical="top" wrapText="1"/>
    </xf>
    <xf numFmtId="0" fontId="14" fillId="0" borderId="18" xfId="0" applyFont="1" applyFill="1" applyBorder="1" applyAlignment="1">
      <alignment horizontal="left" wrapText="1"/>
    </xf>
    <xf numFmtId="0" fontId="14" fillId="0" borderId="26" xfId="0" applyFont="1" applyFill="1" applyBorder="1" applyAlignment="1">
      <alignment horizontal="left" wrapText="1"/>
    </xf>
    <xf numFmtId="0" fontId="14" fillId="0" borderId="27" xfId="0" applyFont="1" applyFill="1" applyBorder="1" applyAlignment="1">
      <alignment horizontal="left" wrapText="1"/>
    </xf>
    <xf numFmtId="0" fontId="4" fillId="0" borderId="23"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wrapText="1"/>
    </xf>
    <xf numFmtId="165" fontId="0" fillId="6" borderId="12" xfId="1" applyNumberFormat="1" applyFont="1" applyFill="1" applyBorder="1" applyAlignment="1">
      <alignment horizontal="left" wrapText="1"/>
    </xf>
    <xf numFmtId="165" fontId="0" fillId="6" borderId="16" xfId="1" applyNumberFormat="1" applyFont="1" applyFill="1" applyBorder="1" applyAlignment="1">
      <alignment horizontal="left" wrapText="1"/>
    </xf>
    <xf numFmtId="165" fontId="0" fillId="6" borderId="14" xfId="1" applyNumberFormat="1" applyFont="1" applyFill="1" applyBorder="1" applyAlignment="1">
      <alignment horizontal="left" wrapText="1"/>
    </xf>
    <xf numFmtId="0" fontId="14" fillId="12" borderId="12" xfId="0" applyFont="1" applyFill="1" applyBorder="1" applyAlignment="1">
      <alignment horizontal="left" wrapText="1"/>
    </xf>
    <xf numFmtId="0" fontId="14" fillId="12" borderId="16" xfId="0" applyFont="1" applyFill="1" applyBorder="1" applyAlignment="1">
      <alignment horizontal="left" wrapText="1"/>
    </xf>
    <xf numFmtId="0" fontId="14" fillId="12" borderId="14" xfId="0" applyFont="1" applyFill="1" applyBorder="1" applyAlignment="1">
      <alignment horizontal="left" wrapText="1"/>
    </xf>
    <xf numFmtId="0" fontId="0" fillId="0" borderId="10" xfId="0" applyFont="1" applyBorder="1" applyAlignment="1">
      <alignment horizontal="center"/>
    </xf>
    <xf numFmtId="0" fontId="72" fillId="16" borderId="51" xfId="0" applyFont="1" applyFill="1" applyBorder="1" applyAlignment="1">
      <alignment horizontal="left" vertical="top" wrapText="1"/>
    </xf>
    <xf numFmtId="0" fontId="72" fillId="16" borderId="10" xfId="0" applyFont="1" applyFill="1" applyBorder="1" applyAlignment="1">
      <alignment horizontal="left" vertical="top" wrapText="1"/>
    </xf>
    <xf numFmtId="0" fontId="12" fillId="16" borderId="52" xfId="0" applyFont="1" applyFill="1" applyBorder="1" applyAlignment="1">
      <alignment horizontal="center"/>
    </xf>
    <xf numFmtId="0" fontId="12" fillId="16" borderId="5" xfId="0" applyFont="1" applyFill="1" applyBorder="1" applyAlignment="1">
      <alignment horizontal="center"/>
    </xf>
    <xf numFmtId="0" fontId="72" fillId="0" borderId="51" xfId="0" applyFont="1" applyBorder="1" applyAlignment="1">
      <alignment horizontal="left" vertical="top" wrapText="1"/>
    </xf>
    <xf numFmtId="0" fontId="72" fillId="0" borderId="10" xfId="0" applyFont="1" applyBorder="1" applyAlignment="1">
      <alignment horizontal="left" vertical="top" wrapText="1"/>
    </xf>
    <xf numFmtId="0" fontId="70" fillId="0" borderId="51" xfId="0" applyFont="1" applyBorder="1" applyAlignment="1">
      <alignment horizontal="left" vertical="top"/>
    </xf>
    <xf numFmtId="0" fontId="70" fillId="0" borderId="10" xfId="0" applyFont="1" applyBorder="1" applyAlignment="1">
      <alignment horizontal="left" vertical="top"/>
    </xf>
    <xf numFmtId="0" fontId="26" fillId="16" borderId="51" xfId="0" applyFont="1" applyFill="1" applyBorder="1" applyAlignment="1">
      <alignment horizontal="left" vertical="top"/>
    </xf>
    <xf numFmtId="0" fontId="26" fillId="16" borderId="10" xfId="0" applyFont="1" applyFill="1" applyBorder="1" applyAlignment="1">
      <alignment horizontal="left" vertical="top"/>
    </xf>
    <xf numFmtId="165" fontId="2" fillId="0" borderId="23" xfId="1" applyNumberFormat="1" applyFont="1" applyFill="1" applyBorder="1" applyAlignment="1">
      <alignment horizontal="left"/>
    </xf>
    <xf numFmtId="165" fontId="2" fillId="0" borderId="24" xfId="1" applyNumberFormat="1" applyFont="1" applyFill="1" applyBorder="1" applyAlignment="1">
      <alignment horizontal="left"/>
    </xf>
    <xf numFmtId="165" fontId="2" fillId="0" borderId="25" xfId="1" applyNumberFormat="1" applyFont="1" applyFill="1" applyBorder="1" applyAlignment="1">
      <alignment horizontal="left"/>
    </xf>
    <xf numFmtId="165" fontId="2" fillId="0" borderId="18" xfId="1" applyNumberFormat="1" applyFont="1" applyFill="1" applyBorder="1" applyAlignment="1">
      <alignment horizontal="left"/>
    </xf>
    <xf numFmtId="165" fontId="2" fillId="0" borderId="26" xfId="1" applyNumberFormat="1" applyFont="1" applyFill="1" applyBorder="1" applyAlignment="1">
      <alignment horizontal="left"/>
    </xf>
    <xf numFmtId="165" fontId="2" fillId="0" borderId="27" xfId="1" applyNumberFormat="1" applyFont="1" applyFill="1" applyBorder="1" applyAlignment="1">
      <alignment horizontal="left"/>
    </xf>
    <xf numFmtId="165" fontId="0" fillId="0" borderId="12" xfId="1" applyNumberFormat="1" applyFont="1" applyFill="1" applyBorder="1" applyAlignment="1">
      <alignment horizontal="left"/>
    </xf>
    <xf numFmtId="165" fontId="0" fillId="0" borderId="16" xfId="1" applyNumberFormat="1" applyFont="1" applyFill="1" applyBorder="1" applyAlignment="1">
      <alignment horizontal="left"/>
    </xf>
    <xf numFmtId="165" fontId="0" fillId="0" borderId="14" xfId="1" applyNumberFormat="1" applyFont="1" applyFill="1" applyBorder="1" applyAlignment="1">
      <alignment horizontal="left"/>
    </xf>
    <xf numFmtId="165" fontId="0" fillId="6" borderId="12" xfId="1" applyNumberFormat="1" applyFont="1" applyFill="1" applyBorder="1" applyAlignment="1">
      <alignment horizontal="center" wrapText="1"/>
    </xf>
    <xf numFmtId="165" fontId="0" fillId="6" borderId="16" xfId="1" applyNumberFormat="1" applyFont="1" applyFill="1" applyBorder="1" applyAlignment="1">
      <alignment horizontal="center" wrapText="1"/>
    </xf>
    <xf numFmtId="165" fontId="0" fillId="6" borderId="14" xfId="1" applyNumberFormat="1" applyFont="1" applyFill="1" applyBorder="1" applyAlignment="1">
      <alignment horizontal="center" wrapText="1"/>
    </xf>
    <xf numFmtId="165" fontId="0" fillId="12" borderId="12" xfId="1" applyNumberFormat="1" applyFont="1" applyFill="1" applyBorder="1" applyAlignment="1">
      <alignment horizontal="left"/>
    </xf>
    <xf numFmtId="165" fontId="0" fillId="12" borderId="16" xfId="1" applyNumberFormat="1" applyFont="1" applyFill="1" applyBorder="1" applyAlignment="1">
      <alignment horizontal="left"/>
    </xf>
    <xf numFmtId="165" fontId="0" fillId="12" borderId="14" xfId="1" applyNumberFormat="1" applyFont="1" applyFill="1" applyBorder="1" applyAlignment="1">
      <alignment horizontal="left"/>
    </xf>
    <xf numFmtId="0" fontId="14" fillId="0" borderId="12" xfId="0" applyFont="1" applyFill="1" applyBorder="1" applyAlignment="1">
      <alignment horizontal="left" wrapText="1"/>
    </xf>
    <xf numFmtId="0" fontId="14" fillId="0" borderId="16" xfId="0" applyFont="1" applyFill="1" applyBorder="1" applyAlignment="1">
      <alignment horizontal="left" wrapText="1"/>
    </xf>
    <xf numFmtId="0" fontId="14" fillId="0" borderId="14" xfId="0" applyFont="1" applyFill="1" applyBorder="1" applyAlignment="1">
      <alignment horizontal="left" wrapText="1"/>
    </xf>
    <xf numFmtId="0" fontId="75" fillId="16" borderId="49" xfId="0" applyFont="1" applyFill="1" applyBorder="1" applyAlignment="1">
      <alignment horizontal="left" vertical="top" wrapText="1"/>
    </xf>
    <xf numFmtId="0" fontId="75" fillId="16" borderId="0" xfId="0" applyFont="1" applyFill="1" applyAlignment="1">
      <alignment horizontal="left" vertical="top" wrapText="1"/>
    </xf>
    <xf numFmtId="0" fontId="75" fillId="0" borderId="49" xfId="0" applyFont="1" applyBorder="1" applyAlignment="1">
      <alignment horizontal="left" vertical="top" wrapText="1"/>
    </xf>
    <xf numFmtId="0" fontId="75" fillId="0" borderId="0" xfId="0" applyFont="1" applyAlignment="1">
      <alignment horizontal="left" vertical="top" wrapText="1"/>
    </xf>
    <xf numFmtId="0" fontId="75" fillId="0" borderId="49" xfId="0" applyFont="1" applyBorder="1" applyAlignment="1">
      <alignment horizontal="left" vertical="top"/>
    </xf>
    <xf numFmtId="0" fontId="26" fillId="16" borderId="49" xfId="0" applyFont="1" applyFill="1" applyBorder="1" applyAlignment="1">
      <alignment horizontal="left" vertical="top"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3" fillId="52" borderId="40" xfId="0" applyFont="1" applyFill="1" applyBorder="1" applyAlignment="1">
      <alignment horizontal="center" wrapText="1"/>
    </xf>
    <xf numFmtId="0" fontId="33" fillId="52" borderId="41" xfId="0" applyFont="1" applyFill="1" applyBorder="1" applyAlignment="1">
      <alignment horizontal="center" wrapText="1"/>
    </xf>
    <xf numFmtId="0" fontId="33" fillId="52" borderId="42" xfId="0" applyFont="1" applyFill="1" applyBorder="1" applyAlignment="1">
      <alignment horizontal="center" wrapText="1"/>
    </xf>
    <xf numFmtId="0" fontId="69" fillId="0" borderId="30" xfId="0" applyFont="1" applyFill="1" applyBorder="1" applyAlignment="1">
      <alignment horizontal="left" vertical="top" wrapText="1"/>
    </xf>
    <xf numFmtId="0" fontId="69" fillId="0" borderId="16" xfId="0" applyFont="1" applyFill="1" applyBorder="1" applyAlignment="1">
      <alignment horizontal="left" vertical="top"/>
    </xf>
    <xf numFmtId="0" fontId="69" fillId="0" borderId="14" xfId="0" applyFont="1" applyFill="1" applyBorder="1" applyAlignment="1">
      <alignment horizontal="left" vertical="top"/>
    </xf>
    <xf numFmtId="0" fontId="7" fillId="0" borderId="1" xfId="0" applyFont="1" applyBorder="1" applyAlignment="1">
      <alignment horizontal="left" vertical="top" wrapText="1"/>
    </xf>
    <xf numFmtId="0" fontId="0" fillId="64" borderId="1" xfId="0" applyFill="1" applyBorder="1" applyAlignment="1">
      <alignment horizontal="center"/>
    </xf>
    <xf numFmtId="0" fontId="90" fillId="64" borderId="1" xfId="0" applyFont="1" applyFill="1" applyBorder="1" applyAlignment="1">
      <alignment horizontal="left"/>
    </xf>
    <xf numFmtId="0" fontId="0" fillId="0" borderId="0" xfId="0" applyFill="1" applyAlignment="1">
      <alignment horizontal="center" wrapText="1"/>
    </xf>
    <xf numFmtId="0" fontId="70" fillId="0" borderId="30" xfId="0" applyFont="1" applyBorder="1" applyAlignment="1">
      <alignment horizontal="left" vertical="top" wrapText="1"/>
    </xf>
    <xf numFmtId="0" fontId="70" fillId="0" borderId="16" xfId="0" applyFont="1" applyBorder="1" applyAlignment="1">
      <alignment horizontal="left" vertical="top"/>
    </xf>
    <xf numFmtId="0" fontId="70" fillId="0" borderId="14" xfId="0" applyFont="1" applyBorder="1" applyAlignment="1">
      <alignment horizontal="left" vertical="top"/>
    </xf>
    <xf numFmtId="0" fontId="84" fillId="0" borderId="51" xfId="0" applyFont="1" applyBorder="1" applyAlignment="1">
      <alignment horizontal="left" vertical="top" wrapText="1"/>
    </xf>
    <xf numFmtId="0" fontId="84" fillId="0" borderId="10" xfId="0" applyFont="1" applyBorder="1" applyAlignment="1">
      <alignment horizontal="left" vertical="top" wrapText="1"/>
    </xf>
    <xf numFmtId="0" fontId="80" fillId="0" borderId="12" xfId="0" applyFont="1" applyBorder="1" applyAlignment="1">
      <alignment horizontal="left" vertical="top" wrapText="1"/>
    </xf>
    <xf numFmtId="0" fontId="80" fillId="0" borderId="16" xfId="0" applyFont="1" applyBorder="1" applyAlignment="1">
      <alignment horizontal="left" vertical="top" wrapText="1"/>
    </xf>
    <xf numFmtId="0" fontId="80" fillId="0" borderId="14" xfId="0" applyFont="1" applyBorder="1" applyAlignment="1">
      <alignment horizontal="left" vertical="top" wrapText="1"/>
    </xf>
    <xf numFmtId="0" fontId="79" fillId="62" borderId="51" xfId="0" applyFont="1" applyFill="1" applyBorder="1" applyAlignment="1">
      <alignment horizontal="left" vertical="top"/>
    </xf>
    <xf numFmtId="0" fontId="79" fillId="62" borderId="10" xfId="0" applyFont="1" applyFill="1" applyBorder="1" applyAlignment="1">
      <alignment horizontal="left" vertical="top"/>
    </xf>
    <xf numFmtId="0" fontId="84" fillId="62" borderId="51" xfId="0" applyFont="1" applyFill="1" applyBorder="1" applyAlignment="1">
      <alignment horizontal="left" vertical="top" wrapText="1"/>
    </xf>
    <xf numFmtId="0" fontId="84" fillId="62" borderId="10" xfId="0" applyFont="1" applyFill="1" applyBorder="1" applyAlignment="1">
      <alignment horizontal="left" vertical="top" wrapText="1"/>
    </xf>
    <xf numFmtId="0" fontId="59" fillId="62" borderId="52" xfId="0" applyFont="1" applyFill="1" applyBorder="1" applyAlignment="1">
      <alignment horizontal="center"/>
    </xf>
    <xf numFmtId="0" fontId="59" fillId="62" borderId="5" xfId="0" applyFont="1" applyFill="1" applyBorder="1" applyAlignment="1">
      <alignment horizontal="center"/>
    </xf>
    <xf numFmtId="0" fontId="80" fillId="0" borderId="12" xfId="0" applyFont="1" applyBorder="1" applyAlignment="1" applyProtection="1">
      <alignment horizontal="left" vertical="top" wrapText="1"/>
      <protection locked="0"/>
    </xf>
    <xf numFmtId="0" fontId="80" fillId="0" borderId="16" xfId="0" applyFont="1" applyBorder="1" applyAlignment="1" applyProtection="1">
      <alignment horizontal="left" vertical="top" wrapText="1"/>
      <protection locked="0"/>
    </xf>
    <xf numFmtId="0" fontId="80" fillId="0" borderId="14" xfId="0" applyFont="1" applyBorder="1" applyAlignment="1" applyProtection="1">
      <alignment horizontal="left" vertical="top" wrapText="1"/>
      <protection locked="0"/>
    </xf>
    <xf numFmtId="0" fontId="79" fillId="62" borderId="49" xfId="0" applyFont="1" applyFill="1" applyBorder="1" applyAlignment="1">
      <alignment horizontal="left" vertical="top"/>
    </xf>
    <xf numFmtId="0" fontId="79" fillId="62" borderId="0" xfId="0" applyFont="1" applyFill="1" applyAlignment="1">
      <alignment horizontal="left" vertical="top"/>
    </xf>
    <xf numFmtId="0" fontId="81" fillId="0" borderId="51" xfId="0" applyFont="1" applyBorder="1" applyAlignment="1">
      <alignment horizontal="left" vertical="top"/>
    </xf>
    <xf numFmtId="0" fontId="81" fillId="0" borderId="10" xfId="0" applyFont="1" applyBorder="1" applyAlignment="1">
      <alignment horizontal="left" vertical="top"/>
    </xf>
    <xf numFmtId="0" fontId="78" fillId="0" borderId="46" xfId="0" applyFont="1" applyBorder="1" applyAlignment="1">
      <alignment horizontal="center"/>
    </xf>
    <xf numFmtId="0" fontId="78" fillId="0" borderId="47" xfId="0" applyFont="1" applyBorder="1" applyAlignment="1">
      <alignment horizontal="center"/>
    </xf>
    <xf numFmtId="0" fontId="78" fillId="62" borderId="49" xfId="0" applyFont="1" applyFill="1" applyBorder="1" applyAlignment="1">
      <alignment horizontal="center"/>
    </xf>
    <xf numFmtId="0" fontId="78" fillId="62" borderId="0" xfId="0" applyFont="1" applyFill="1" applyAlignment="1">
      <alignment horizontal="center"/>
    </xf>
    <xf numFmtId="0" fontId="79" fillId="0" borderId="51" xfId="0" applyFont="1" applyBorder="1" applyAlignment="1">
      <alignment horizontal="left" vertical="top"/>
    </xf>
    <xf numFmtId="0" fontId="79" fillId="0" borderId="10" xfId="0" applyFont="1" applyBorder="1" applyAlignment="1">
      <alignment horizontal="left" vertical="top"/>
    </xf>
    <xf numFmtId="0" fontId="63" fillId="4" borderId="7" xfId="114" applyFont="1" applyFill="1" applyBorder="1" applyAlignment="1">
      <alignment horizontal="left" vertical="top" wrapText="1"/>
    </xf>
    <xf numFmtId="0" fontId="63" fillId="4" borderId="0" xfId="114" applyFont="1" applyFill="1" applyAlignment="1">
      <alignment horizontal="left" vertical="top" wrapText="1"/>
    </xf>
    <xf numFmtId="0" fontId="0" fillId="5" borderId="5" xfId="0" applyFill="1" applyBorder="1" applyAlignment="1">
      <alignment horizontal="left" vertical="top" wrapText="1"/>
    </xf>
    <xf numFmtId="0" fontId="70" fillId="0" borderId="16" xfId="0" applyFont="1" applyBorder="1" applyAlignment="1">
      <alignment horizontal="left" vertical="top" wrapText="1"/>
    </xf>
    <xf numFmtId="0" fontId="70" fillId="0" borderId="14" xfId="0" applyFont="1" applyBorder="1" applyAlignment="1">
      <alignment horizontal="left" vertical="top" wrapText="1"/>
    </xf>
    <xf numFmtId="0" fontId="86" fillId="0" borderId="30" xfId="0" applyFont="1" applyBorder="1" applyAlignment="1">
      <alignment horizontal="left" vertical="top" wrapText="1"/>
    </xf>
    <xf numFmtId="0" fontId="86" fillId="0" borderId="16" xfId="0" applyFont="1" applyBorder="1" applyAlignment="1">
      <alignment horizontal="left" vertical="top" wrapText="1"/>
    </xf>
    <xf numFmtId="0" fontId="86" fillId="0" borderId="14" xfId="0" applyFont="1" applyBorder="1" applyAlignment="1">
      <alignment horizontal="left" vertical="top" wrapText="1"/>
    </xf>
    <xf numFmtId="44" fontId="0" fillId="0" borderId="0" xfId="0" applyNumberFormat="1" applyAlignment="1">
      <alignment horizontal="center"/>
    </xf>
    <xf numFmtId="0" fontId="0" fillId="0" borderId="0" xfId="0" applyAlignment="1">
      <alignment horizontal="center"/>
    </xf>
    <xf numFmtId="0" fontId="87" fillId="0" borderId="30" xfId="0" applyFont="1" applyBorder="1" applyAlignment="1">
      <alignment horizontal="left" vertical="top" wrapText="1"/>
    </xf>
    <xf numFmtId="0" fontId="88" fillId="0" borderId="16" xfId="0" applyFont="1" applyBorder="1" applyAlignment="1">
      <alignment horizontal="left" vertical="top" wrapText="1"/>
    </xf>
    <xf numFmtId="0" fontId="88" fillId="0" borderId="14" xfId="0" applyFont="1" applyBorder="1" applyAlignment="1">
      <alignment horizontal="left" vertical="top" wrapText="1"/>
    </xf>
    <xf numFmtId="0" fontId="0" fillId="5" borderId="7" xfId="0" applyFill="1" applyBorder="1" applyAlignment="1">
      <alignment wrapText="1"/>
    </xf>
    <xf numFmtId="0" fontId="0" fillId="5" borderId="0" xfId="0" applyFill="1" applyAlignment="1">
      <alignment wrapText="1"/>
    </xf>
    <xf numFmtId="0" fontId="87" fillId="0" borderId="16" xfId="0" applyFont="1" applyBorder="1" applyAlignment="1">
      <alignment horizontal="left" vertical="top" wrapText="1"/>
    </xf>
    <xf numFmtId="0" fontId="87" fillId="0" borderId="14" xfId="0" applyFont="1" applyBorder="1" applyAlignment="1">
      <alignment horizontal="left" vertical="top" wrapText="1"/>
    </xf>
    <xf numFmtId="0" fontId="11" fillId="0" borderId="7" xfId="0" applyFont="1" applyBorder="1" applyAlignment="1">
      <alignment vertical="top"/>
    </xf>
  </cellXfs>
  <cellStyles count="115">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52" xr:uid="{00000000-0005-0000-0000-00001C000000}"/>
    <cellStyle name="Comma 3" xfId="53" xr:uid="{00000000-0005-0000-0000-00001D000000}"/>
    <cellStyle name="Comma 4" xfId="112" xr:uid="{00000000-0005-0000-0000-00001E000000}"/>
    <cellStyle name="Currency" xfId="2" builtinId="4"/>
    <cellStyle name="Currency 2" xfId="6" xr:uid="{00000000-0005-0000-0000-000020000000}"/>
    <cellStyle name="Currency 2 2" xfId="55" xr:uid="{00000000-0005-0000-0000-000021000000}"/>
    <cellStyle name="Currency 2 3" xfId="54" xr:uid="{00000000-0005-0000-0000-000022000000}"/>
    <cellStyle name="Excel Built-in Comma" xfId="56" xr:uid="{00000000-0005-0000-0000-000023000000}"/>
    <cellStyle name="Excel Built-in Currency" xfId="57" xr:uid="{00000000-0005-0000-0000-000024000000}"/>
    <cellStyle name="Excel Built-in Normal" xfId="4" xr:uid="{00000000-0005-0000-0000-000025000000}"/>
    <cellStyle name="Excel Built-in Normal 2" xfId="58" xr:uid="{00000000-0005-0000-0000-000026000000}"/>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inked Cell" xfId="21" builtinId="24" customBuiltin="1"/>
    <cellStyle name="Neutral" xfId="17" builtinId="28" customBuiltin="1"/>
    <cellStyle name="Normal" xfId="0" builtinId="0"/>
    <cellStyle name="Normal 10" xfId="51" xr:uid="{00000000-0005-0000-0000-000031000000}"/>
    <cellStyle name="Normal 10 2" xfId="59" xr:uid="{00000000-0005-0000-0000-000032000000}"/>
    <cellStyle name="Normal 11" xfId="10" xr:uid="{00000000-0005-0000-0000-000033000000}"/>
    <cellStyle name="Normal 12" xfId="60" xr:uid="{00000000-0005-0000-0000-000034000000}"/>
    <cellStyle name="Normal 12 2" xfId="61" xr:uid="{00000000-0005-0000-0000-000035000000}"/>
    <cellStyle name="Normal 12 3" xfId="62" xr:uid="{00000000-0005-0000-0000-000036000000}"/>
    <cellStyle name="Normal 12 4" xfId="63" xr:uid="{00000000-0005-0000-0000-000037000000}"/>
    <cellStyle name="Normal 13" xfId="64" xr:uid="{00000000-0005-0000-0000-000038000000}"/>
    <cellStyle name="Normal 13 2" xfId="65" xr:uid="{00000000-0005-0000-0000-000039000000}"/>
    <cellStyle name="Normal 13 3" xfId="66" xr:uid="{00000000-0005-0000-0000-00003A000000}"/>
    <cellStyle name="Normal 13 4" xfId="67" xr:uid="{00000000-0005-0000-0000-00003B000000}"/>
    <cellStyle name="Normal 14" xfId="113" xr:uid="{00000000-0005-0000-0000-00003C000000}"/>
    <cellStyle name="Normal 15" xfId="114" xr:uid="{74DC6890-5EFA-402F-AB98-B9FBAB4635D6}"/>
    <cellStyle name="Normal 16" xfId="68" xr:uid="{00000000-0005-0000-0000-00003D000000}"/>
    <cellStyle name="Normal 2" xfId="5" xr:uid="{00000000-0005-0000-0000-00003E000000}"/>
    <cellStyle name="Normal 2 2" xfId="9" xr:uid="{00000000-0005-0000-0000-00003F000000}"/>
    <cellStyle name="Normal 2 2 2" xfId="70" xr:uid="{00000000-0005-0000-0000-000040000000}"/>
    <cellStyle name="Normal 2 2 2 2" xfId="71" xr:uid="{00000000-0005-0000-0000-000041000000}"/>
    <cellStyle name="Normal 2 2 2 3" xfId="72" xr:uid="{00000000-0005-0000-0000-000042000000}"/>
    <cellStyle name="Normal 2 2 2 4" xfId="73" xr:uid="{00000000-0005-0000-0000-000043000000}"/>
    <cellStyle name="Normal 2 2 3" xfId="74" xr:uid="{00000000-0005-0000-0000-000044000000}"/>
    <cellStyle name="Normal 2 2 4" xfId="75" xr:uid="{00000000-0005-0000-0000-000045000000}"/>
    <cellStyle name="Normal 2 3" xfId="76" xr:uid="{00000000-0005-0000-0000-000046000000}"/>
    <cellStyle name="Normal 2 4" xfId="77" xr:uid="{00000000-0005-0000-0000-000047000000}"/>
    <cellStyle name="Normal 2 5" xfId="78" xr:uid="{00000000-0005-0000-0000-000048000000}"/>
    <cellStyle name="Normal 2 6" xfId="69" xr:uid="{00000000-0005-0000-0000-000049000000}"/>
    <cellStyle name="Normal 24" xfId="79" xr:uid="{00000000-0005-0000-0000-00004A000000}"/>
    <cellStyle name="Normal 3" xfId="8" xr:uid="{00000000-0005-0000-0000-00004B000000}"/>
    <cellStyle name="Normal 3 2" xfId="81" xr:uid="{00000000-0005-0000-0000-00004C000000}"/>
    <cellStyle name="Normal 3 3" xfId="82" xr:uid="{00000000-0005-0000-0000-00004D000000}"/>
    <cellStyle name="Normal 3 4" xfId="83" xr:uid="{00000000-0005-0000-0000-00004E000000}"/>
    <cellStyle name="Normal 3 5" xfId="80" xr:uid="{00000000-0005-0000-0000-00004F000000}"/>
    <cellStyle name="Normal 4" xfId="84" xr:uid="{00000000-0005-0000-0000-000050000000}"/>
    <cellStyle name="Normal 4 2" xfId="85" xr:uid="{00000000-0005-0000-0000-000051000000}"/>
    <cellStyle name="Normal 4 3" xfId="86" xr:uid="{00000000-0005-0000-0000-000052000000}"/>
    <cellStyle name="Normal 5" xfId="87" xr:uid="{00000000-0005-0000-0000-000053000000}"/>
    <cellStyle name="Normal 6" xfId="88" xr:uid="{00000000-0005-0000-0000-000054000000}"/>
    <cellStyle name="Normal 7" xfId="89" xr:uid="{00000000-0005-0000-0000-000055000000}"/>
    <cellStyle name="Normal 8" xfId="90" xr:uid="{00000000-0005-0000-0000-000056000000}"/>
    <cellStyle name="Normal 9" xfId="91" xr:uid="{00000000-0005-0000-0000-000057000000}"/>
    <cellStyle name="Note 2" xfId="92" xr:uid="{00000000-0005-0000-0000-000058000000}"/>
    <cellStyle name="Note 2 2" xfId="93" xr:uid="{00000000-0005-0000-0000-000059000000}"/>
    <cellStyle name="Note 2 3" xfId="94" xr:uid="{00000000-0005-0000-0000-00005A000000}"/>
    <cellStyle name="Note 2 4" xfId="95" xr:uid="{00000000-0005-0000-0000-00005B000000}"/>
    <cellStyle name="Note 3" xfId="96" xr:uid="{00000000-0005-0000-0000-00005C000000}"/>
    <cellStyle name="Note 3 2" xfId="97" xr:uid="{00000000-0005-0000-0000-00005D000000}"/>
    <cellStyle name="Note 3 3" xfId="98" xr:uid="{00000000-0005-0000-0000-00005E000000}"/>
    <cellStyle name="Note 3 4" xfId="99" xr:uid="{00000000-0005-0000-0000-00005F000000}"/>
    <cellStyle name="Note 4" xfId="100" xr:uid="{00000000-0005-0000-0000-000060000000}"/>
    <cellStyle name="Note 4 2" xfId="101" xr:uid="{00000000-0005-0000-0000-000061000000}"/>
    <cellStyle name="Note 4 3" xfId="102" xr:uid="{00000000-0005-0000-0000-000062000000}"/>
    <cellStyle name="Note 4 4" xfId="103" xr:uid="{00000000-0005-0000-0000-000063000000}"/>
    <cellStyle name="Note 5" xfId="104" xr:uid="{00000000-0005-0000-0000-000064000000}"/>
    <cellStyle name="Note 5 2" xfId="105" xr:uid="{00000000-0005-0000-0000-000065000000}"/>
    <cellStyle name="Note 5 3" xfId="106" xr:uid="{00000000-0005-0000-0000-000066000000}"/>
    <cellStyle name="Note 5 4" xfId="107" xr:uid="{00000000-0005-0000-0000-000067000000}"/>
    <cellStyle name="Note 6" xfId="108" xr:uid="{00000000-0005-0000-0000-000068000000}"/>
    <cellStyle name="Note 6 2" xfId="109" xr:uid="{00000000-0005-0000-0000-000069000000}"/>
    <cellStyle name="Note 6 3" xfId="110" xr:uid="{00000000-0005-0000-0000-00006A000000}"/>
    <cellStyle name="Note 6 4" xfId="111" xr:uid="{00000000-0005-0000-0000-00006B000000}"/>
    <cellStyle name="Output" xfId="19" builtinId="21" customBuiltin="1"/>
    <cellStyle name="Percent" xfId="3" builtinId="5"/>
    <cellStyle name="Percent 2" xfId="7" xr:uid="{00000000-0005-0000-0000-00006E000000}"/>
    <cellStyle name="Title 2" xfId="50" xr:uid="{00000000-0005-0000-0000-00006F000000}"/>
    <cellStyle name="Total" xfId="25" builtinId="25" customBuiltin="1"/>
    <cellStyle name="Warning Text" xfId="23" builtinId="11" customBuiltin="1"/>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person displayName="Tran, Thao P" id="{5B52444B-DBC0-4B9E-84E0-E2D9796D43F8}" userId="S::ttran@ios.doi.gov::d93a33dd-edc6-459d-987e-6b1aac30759f" providerId="AD"/>
  <person displayName="Pederson, Kimber (Roshelle)" id="{69366305-DE6B-4C89-A8D7-496160FC61DC}" userId="S::kpederson@ios.doi.gov::6d983362-e3e5-430b-b916-1a356498651a" providerId="AD"/>
  <person displayName="Valentine, Kristy A" id="{A06398DA-DA1A-476F-9AB9-B6FC69940443}" userId="S::kvalentine@ios.doi.gov::36d3f200-4f44-4f46-9188-a93503bd45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6" dT="2020-02-05T15:36:37.75" personId="{5B52444B-DBC0-4B9E-84E0-E2D9796D43F8}" id="{F03A3121-08D9-4102-975E-C624064D1071}">
    <text>Overtarget Scenario description required if change is equal or greater than 10%.</text>
  </threadedComment>
</ThreadedComments>
</file>

<file path=xl/threadedComments/threadedComment10.xml><?xml version="1.0" encoding="utf-8"?>
<ThreadedComments xmlns="http://schemas.microsoft.com/office/spreadsheetml/2018/threadedcomments" xmlns:x="http://schemas.openxmlformats.org/spreadsheetml/2006/main">
  <threadedComment ref="B77" dT="2020-02-05T15:36:37.75" personId="{5B52444B-DBC0-4B9E-84E0-E2D9796D43F8}" id="{88CCEB57-8508-4449-BB93-E70FD98471F1}">
    <text>Overtarget Scenario description required if change is equal or greater than 10%.</text>
  </threadedComment>
</ThreadedComments>
</file>

<file path=xl/threadedComments/threadedComment11.xml><?xml version="1.0" encoding="utf-8"?>
<ThreadedComments xmlns="http://schemas.microsoft.com/office/spreadsheetml/2018/threadedcomments" xmlns:x="http://schemas.openxmlformats.org/spreadsheetml/2006/main">
  <threadedComment ref="B67" dT="2020-02-05T15:36:37.75" personId="{5B52444B-DBC0-4B9E-84E0-E2D9796D43F8}" id="{DF77447E-AA95-4B41-8C25-312AAB246CA4}">
    <text>Overtarget Scenario description required if change is equal or greater than 10%.</text>
  </threadedComment>
</ThreadedComments>
</file>

<file path=xl/threadedComments/threadedComment12.xml><?xml version="1.0" encoding="utf-8"?>
<ThreadedComments xmlns="http://schemas.microsoft.com/office/spreadsheetml/2018/threadedcomments" xmlns:x="http://schemas.openxmlformats.org/spreadsheetml/2006/main">
  <threadedComment ref="B62" dT="2020-02-05T15:36:37.75" personId="{5B52444B-DBC0-4B9E-84E0-E2D9796D43F8}" id="{F3C34C86-9DC1-44E5-AE34-CD29A062DB8A}">
    <text>Overtarget Scenario description required if change is equal or greater than 10%.</text>
  </threadedComment>
</ThreadedComments>
</file>

<file path=xl/threadedComments/threadedComment13.xml><?xml version="1.0" encoding="utf-8"?>
<ThreadedComments xmlns="http://schemas.microsoft.com/office/spreadsheetml/2018/threadedcomments" xmlns:x="http://schemas.openxmlformats.org/spreadsheetml/2006/main">
  <threadedComment ref="B57" dT="2020-02-05T15:36:37.75" personId="{5B52444B-DBC0-4B9E-84E0-E2D9796D43F8}" id="{8B8FDAF7-15A5-4ACD-BAA7-175BD04315BF}">
    <text>Overtarget Scenario description required if change is equal or greater than 10%.</text>
  </threadedComment>
</ThreadedComments>
</file>

<file path=xl/threadedComments/threadedComment14.xml><?xml version="1.0" encoding="utf-8"?>
<ThreadedComments xmlns="http://schemas.microsoft.com/office/spreadsheetml/2018/threadedcomments" xmlns:x="http://schemas.openxmlformats.org/spreadsheetml/2006/main">
  <threadedComment ref="B74" dT="2020-02-05T15:36:37.75" personId="{5B52444B-DBC0-4B9E-84E0-E2D9796D43F8}" id="{AA395E24-028D-4716-B822-5AA641AB711A}">
    <text>Overtarget Scenario description required if change is equal or greater than 10%.</text>
  </threadedComment>
</ThreadedComments>
</file>

<file path=xl/threadedComments/threadedComment15.xml><?xml version="1.0" encoding="utf-8"?>
<ThreadedComments xmlns="http://schemas.microsoft.com/office/spreadsheetml/2018/threadedcomments" xmlns:x="http://schemas.openxmlformats.org/spreadsheetml/2006/main">
  <threadedComment ref="B60" dT="2020-02-05T15:36:37.75" personId="{5B52444B-DBC0-4B9E-84E0-E2D9796D43F8}" id="{71A92419-BF88-4E83-BD83-95380C243C92}">
    <text>Overtarget Scenario description required if change is equal or greater than 10%.</text>
  </threadedComment>
</ThreadedComments>
</file>

<file path=xl/threadedComments/threadedComment16.xml><?xml version="1.0" encoding="utf-8"?>
<ThreadedComments xmlns="http://schemas.microsoft.com/office/spreadsheetml/2018/threadedcomments" xmlns:x="http://schemas.openxmlformats.org/spreadsheetml/2006/main">
  <threadedComment ref="B54" dT="2020-02-05T15:36:37.75" personId="{5B52444B-DBC0-4B9E-84E0-E2D9796D43F8}" id="{4E7645FD-1FEE-42C1-98DC-1DF50E540E46}">
    <text>Overtarget Scenario description required if change is equal or greater than 10%.</text>
  </threadedComment>
</ThreadedComments>
</file>

<file path=xl/threadedComments/threadedComment17.xml><?xml version="1.0" encoding="utf-8"?>
<ThreadedComments xmlns="http://schemas.microsoft.com/office/spreadsheetml/2018/threadedcomments" xmlns:x="http://schemas.openxmlformats.org/spreadsheetml/2006/main">
  <threadedComment ref="B56" dT="2020-02-05T15:36:37.75" personId="{5B52444B-DBC0-4B9E-84E0-E2D9796D43F8}" id="{A56C1C5F-ECD4-4EE3-B116-2FFDEB854739}">
    <text>Overtarget Scenario description required if change is equal or greater than 10%.</text>
  </threadedComment>
</ThreadedComments>
</file>

<file path=xl/threadedComments/threadedComment18.xml><?xml version="1.0" encoding="utf-8"?>
<ThreadedComments xmlns="http://schemas.microsoft.com/office/spreadsheetml/2018/threadedcomments" xmlns:x="http://schemas.openxmlformats.org/spreadsheetml/2006/main">
  <threadedComment ref="B55" dT="2020-02-05T15:36:37.75" personId="{5B52444B-DBC0-4B9E-84E0-E2D9796D43F8}" id="{50942B50-29DE-4B38-8A06-09DF81459759}">
    <text>Overtarget Scenario description required if change is equal or greater than 10%.</text>
  </threadedComment>
</ThreadedComments>
</file>

<file path=xl/threadedComments/threadedComment19.xml><?xml version="1.0" encoding="utf-8"?>
<ThreadedComments xmlns="http://schemas.microsoft.com/office/spreadsheetml/2018/threadedcomments" xmlns:x="http://schemas.openxmlformats.org/spreadsheetml/2006/main">
  <threadedComment ref="B50" dT="2020-02-05T15:36:37.75" personId="{5B52444B-DBC0-4B9E-84E0-E2D9796D43F8}" id="{14FDAB0B-4948-4256-A4C1-AC2CA385A985}">
    <text>Overtarget Scenario description required if change is equal or greater than 10%.</text>
  </threadedComment>
</ThreadedComments>
</file>

<file path=xl/threadedComments/threadedComment2.xml><?xml version="1.0" encoding="utf-8"?>
<ThreadedComments xmlns="http://schemas.microsoft.com/office/spreadsheetml/2018/threadedcomments" xmlns:x="http://schemas.openxmlformats.org/spreadsheetml/2006/main">
  <threadedComment ref="B47" dT="2020-02-05T15:36:37.75" personId="{5B52444B-DBC0-4B9E-84E0-E2D9796D43F8}" id="{805EA349-C048-406A-A309-768C4D39E71F}">
    <text>Overtarget Scenario description required if change is equal or greater than 10%.</text>
  </threadedComment>
</ThreadedComments>
</file>

<file path=xl/threadedComments/threadedComment20.xml><?xml version="1.0" encoding="utf-8"?>
<ThreadedComments xmlns="http://schemas.microsoft.com/office/spreadsheetml/2018/threadedcomments" xmlns:x="http://schemas.openxmlformats.org/spreadsheetml/2006/main">
  <threadedComment ref="B60" dT="2020-02-05T15:36:37.75" personId="{5B52444B-DBC0-4B9E-84E0-E2D9796D43F8}" id="{240615DF-2139-4AE7-9070-551D7DE18282}">
    <text>Overtarget Scenario description required if change is equal or greater than 10%.</text>
  </threadedComment>
</ThreadedComments>
</file>

<file path=xl/threadedComments/threadedComment21.xml><?xml version="1.0" encoding="utf-8"?>
<ThreadedComments xmlns="http://schemas.microsoft.com/office/spreadsheetml/2018/threadedcomments" xmlns:x="http://schemas.openxmlformats.org/spreadsheetml/2006/main">
  <threadedComment ref="B57" dT="2020-02-05T15:36:37.75" personId="{5B52444B-DBC0-4B9E-84E0-E2D9796D43F8}" id="{972D9D3F-91E4-45BE-AC1C-375372F0FE83}">
    <text>Overtarget Scenario description required if change is equal or greater than 10%.</text>
  </threadedComment>
</ThreadedComments>
</file>

<file path=xl/threadedComments/threadedComment22.xml><?xml version="1.0" encoding="utf-8"?>
<ThreadedComments xmlns="http://schemas.microsoft.com/office/spreadsheetml/2018/threadedcomments" xmlns:x="http://schemas.openxmlformats.org/spreadsheetml/2006/main">
  <threadedComment ref="B61" dT="2020-02-05T15:36:37.75" personId="{5B52444B-DBC0-4B9E-84E0-E2D9796D43F8}" id="{623A7640-0E48-4024-B371-A0F5F1980A7B}">
    <text>Overtarget Scenario description required if change is equal or greater than 10%.</text>
  </threadedComment>
</ThreadedComments>
</file>

<file path=xl/threadedComments/threadedComment23.xml><?xml version="1.0" encoding="utf-8"?>
<ThreadedComments xmlns="http://schemas.microsoft.com/office/spreadsheetml/2018/threadedcomments" xmlns:x="http://schemas.openxmlformats.org/spreadsheetml/2006/main">
  <threadedComment ref="B49" dT="2020-02-05T15:36:37.75" personId="{5B52444B-DBC0-4B9E-84E0-E2D9796D43F8}" id="{6D142D89-749A-4F79-85D1-E00FB8685F19}">
    <text>Overtarget Scenario description required if change is equal or greater than 10%.</text>
  </threadedComment>
</ThreadedComments>
</file>

<file path=xl/threadedComments/threadedComment24.xml><?xml version="1.0" encoding="utf-8"?>
<ThreadedComments xmlns="http://schemas.microsoft.com/office/spreadsheetml/2018/threadedcomments" xmlns:x="http://schemas.openxmlformats.org/spreadsheetml/2006/main">
  <threadedComment ref="B50" dT="2020-02-05T15:36:37.75" personId="{5B52444B-DBC0-4B9E-84E0-E2D9796D43F8}" id="{E8F2DC75-D53B-4676-9305-5F4D811339F4}">
    <text>Overtarget Scenario description required if change is equal or greater than 10%.</text>
  </threadedComment>
</ThreadedComments>
</file>

<file path=xl/threadedComments/threadedComment25.xml><?xml version="1.0" encoding="utf-8"?>
<ThreadedComments xmlns="http://schemas.microsoft.com/office/spreadsheetml/2018/threadedcomments" xmlns:x="http://schemas.openxmlformats.org/spreadsheetml/2006/main">
  <threadedComment ref="B63" dT="2020-02-05T15:36:37.75" personId="{5B52444B-DBC0-4B9E-84E0-E2D9796D43F8}" id="{A0E10B9A-2C15-4079-96F1-8ED52BCB9FEC}">
    <text>Overtarget Scenario description required if change is equal or greater than 10%.</text>
  </threadedComment>
</ThreadedComments>
</file>

<file path=xl/threadedComments/threadedComment26.xml><?xml version="1.0" encoding="utf-8"?>
<ThreadedComments xmlns="http://schemas.microsoft.com/office/spreadsheetml/2018/threadedcomments" xmlns:x="http://schemas.openxmlformats.org/spreadsheetml/2006/main">
  <threadedComment ref="B50" dT="2020-02-05T15:36:37.75" personId="{5B52444B-DBC0-4B9E-84E0-E2D9796D43F8}" id="{4EA460CF-D3A2-4AB3-B243-B3956EF92D5B}">
    <text>Overtarget Scenario description required if change is equal or greater than 10%.</text>
  </threadedComment>
</ThreadedComments>
</file>

<file path=xl/threadedComments/threadedComment27.xml><?xml version="1.0" encoding="utf-8"?>
<ThreadedComments xmlns="http://schemas.microsoft.com/office/spreadsheetml/2018/threadedcomments" xmlns:x="http://schemas.openxmlformats.org/spreadsheetml/2006/main">
  <threadedComment ref="B47" dT="2020-02-05T15:36:37.75" personId="{5B52444B-DBC0-4B9E-84E0-E2D9796D43F8}" id="{CA190496-CD93-44F2-B24A-B2CAE1E2DCEA}">
    <text>Overtarget Scenario description required if change is equal or greater than 10%.</text>
  </threadedComment>
</ThreadedComments>
</file>

<file path=xl/threadedComments/threadedComment28.xml><?xml version="1.0" encoding="utf-8"?>
<ThreadedComments xmlns="http://schemas.microsoft.com/office/spreadsheetml/2018/threadedcomments" xmlns:x="http://schemas.openxmlformats.org/spreadsheetml/2006/main">
  <threadedComment ref="F41" dT="2021-10-04T20:08:55.58" personId="{69366305-DE6B-4C89-A8D7-496160FC61DC}" id="{50245B77-FD74-4A19-858C-0632A861F55A}">
    <text>There is $340 for the Knowledge Manager (GaBriella)for two years and the balance of $170 for the Data Cache Business Lead (Kara).  If we have to have all of it spent in FY22, they we can apply the Knowledge Manager funding to Andrew's position too.  Let me know if you have any questions.</text>
  </threadedComment>
  <threadedComment ref="F41" dT="2021-11-15T19:13:17.53" personId="{A06398DA-DA1A-476F-9AB9-B6FC69940443}" id="{004D9009-1073-4221-A413-39C91F82389C}" parentId="{50245B77-FD74-4A19-858C-0632A861F55A}">
    <text>You only have $115,723.52 of the $170,000 in the Emergent Bus. Lead account. $54,276.48 was paid out to Blake.</text>
  </threadedComment>
  <threadedComment ref="F41" dT="2021-11-15T20:50:29.42" personId="{69366305-DE6B-4C89-A8D7-496160FC61DC}" id="{603014D4-124C-41F7-AE2B-BBDA6F1D6495}" parentId="{50245B77-FD74-4A19-858C-0632A861F55A}">
    <text>So we want to use the $115K for Kara and cover all of GaBriella's with the Emergent Funding</text>
  </threadedComment>
  <threadedComment ref="F41" dT="2021-11-15T22:55:33.19" personId="{69366305-DE6B-4C89-A8D7-496160FC61DC}" id="{04C401BF-3B78-4D3B-94A2-151E378529DB}" parentId="{50245B77-FD74-4A19-858C-0632A861F55A}">
    <text>Also, we got $170K / year for the Knowledge Manager.  If GB's cost is only $144, we should use the remaining $26K for Andrew's position.</text>
  </threadedComment>
  <threadedComment ref="B57" dT="2020-02-05T15:36:37.75" personId="{5B52444B-DBC0-4B9E-84E0-E2D9796D43F8}" id="{81085732-DFF4-4F16-B743-0B6589C70809}">
    <text>Overtarget Scenario description required if change is equal or greater than 10%.</text>
  </threadedComment>
</ThreadedComments>
</file>

<file path=xl/threadedComments/threadedComment3.xml><?xml version="1.0" encoding="utf-8"?>
<ThreadedComments xmlns="http://schemas.microsoft.com/office/spreadsheetml/2018/threadedcomments" xmlns:x="http://schemas.openxmlformats.org/spreadsheetml/2006/main">
  <threadedComment ref="B57" dT="2020-02-05T15:36:37.75" personId="{5B52444B-DBC0-4B9E-84E0-E2D9796D43F8}" id="{5716717A-DC84-4D5B-8B78-4D6C5047FC5B}">
    <text>Overtarget Scenario description required if change is equal or greater than 10%.</text>
  </threadedComment>
</ThreadedComments>
</file>

<file path=xl/threadedComments/threadedComment4.xml><?xml version="1.0" encoding="utf-8"?>
<ThreadedComments xmlns="http://schemas.microsoft.com/office/spreadsheetml/2018/threadedcomments" xmlns:x="http://schemas.openxmlformats.org/spreadsheetml/2006/main">
  <threadedComment ref="B57" dT="2020-02-05T15:36:37.75" personId="{5B52444B-DBC0-4B9E-84E0-E2D9796D43F8}" id="{8F3F9784-BAD8-41F8-A867-CCCDBBA5D0AA}">
    <text>Overtarget Scenario description required if change is equal or greater than 10%.</text>
  </threadedComment>
</ThreadedComments>
</file>

<file path=xl/threadedComments/threadedComment5.xml><?xml version="1.0" encoding="utf-8"?>
<ThreadedComments xmlns="http://schemas.microsoft.com/office/spreadsheetml/2018/threadedcomments" xmlns:x="http://schemas.openxmlformats.org/spreadsheetml/2006/main">
  <threadedComment ref="B47" dT="2020-02-05T15:36:37.75" personId="{5B52444B-DBC0-4B9E-84E0-E2D9796D43F8}" id="{FA96CA22-727C-4730-814F-D8CFCA2D6E57}">
    <text>Overtarget Scenario description required if change is equal or greater than 10%.</text>
  </threadedComment>
</ThreadedComments>
</file>

<file path=xl/threadedComments/threadedComment6.xml><?xml version="1.0" encoding="utf-8"?>
<ThreadedComments xmlns="http://schemas.microsoft.com/office/spreadsheetml/2018/threadedcomments" xmlns:x="http://schemas.openxmlformats.org/spreadsheetml/2006/main">
  <threadedComment ref="B45" dT="2020-02-05T15:36:37.75" personId="{5B52444B-DBC0-4B9E-84E0-E2D9796D43F8}" id="{6874E861-F7D1-48BC-9B1B-879C0DEA3544}">
    <text>Overtarget Scenario description required if change is equal or greater than 10%.</text>
  </threadedComment>
</ThreadedComments>
</file>

<file path=xl/threadedComments/threadedComment7.xml><?xml version="1.0" encoding="utf-8"?>
<ThreadedComments xmlns="http://schemas.microsoft.com/office/spreadsheetml/2018/threadedcomments" xmlns:x="http://schemas.openxmlformats.org/spreadsheetml/2006/main">
  <threadedComment ref="B50" dT="2020-02-05T15:36:37.75" personId="{5B52444B-DBC0-4B9E-84E0-E2D9796D43F8}" id="{AA790723-6158-4940-A925-83AEBB1FF496}">
    <text>Overtarget Scenario description required if change is equal or greater than 10%.</text>
  </threadedComment>
</ThreadedComments>
</file>

<file path=xl/threadedComments/threadedComment8.xml><?xml version="1.0" encoding="utf-8"?>
<ThreadedComments xmlns="http://schemas.microsoft.com/office/spreadsheetml/2018/threadedcomments" xmlns:x="http://schemas.openxmlformats.org/spreadsheetml/2006/main">
  <threadedComment ref="B53" dT="2020-02-05T15:36:37.75" personId="{5B52444B-DBC0-4B9E-84E0-E2D9796D43F8}" id="{AF235AAE-AA64-4F90-8079-057512F2A1F1}">
    <text>Overtarget Scenario description required if change is equal or greater than 10%.</text>
  </threadedComment>
</ThreadedComments>
</file>

<file path=xl/threadedComments/threadedComment9.xml><?xml version="1.0" encoding="utf-8"?>
<ThreadedComments xmlns="http://schemas.microsoft.com/office/spreadsheetml/2018/threadedcomments" xmlns:x="http://schemas.openxmlformats.org/spreadsheetml/2006/main">
  <threadedComment ref="B60" dT="2020-02-05T15:36:37.75" personId="{5B52444B-DBC0-4B9E-84E0-E2D9796D43F8}" id="{71449547-0F82-429D-AB9F-86D9F73CA3B5}">
    <text>Overtarget Scenario description required if change is equal or greater than 10%.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 Id="rId4" Type="http://schemas.microsoft.com/office/2017/10/relationships/threadedComment" Target="../threadedComments/threadedComment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 Id="rId4" Type="http://schemas.microsoft.com/office/2017/10/relationships/threadedComment" Target="../threadedComments/threadedComment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microsoft.com/office/2017/10/relationships/threadedComment" Target="../threadedComments/threadedComment7.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 Id="rId4" Type="http://schemas.microsoft.com/office/2017/10/relationships/threadedComment" Target="../threadedComments/threadedComment8.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 Id="rId4" Type="http://schemas.microsoft.com/office/2017/10/relationships/threadedComment" Target="../threadedComments/threadedComment9.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microsoft.com/office/2017/10/relationships/threadedComment" Target="../threadedComments/threadedComment10.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microsoft.com/office/2017/10/relationships/threadedComment" Target="../threadedComments/threadedComment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 Id="rId4" Type="http://schemas.microsoft.com/office/2017/10/relationships/threadedComment" Target="../threadedComments/threadedComment13.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3.bin"/><Relationship Id="rId4" Type="http://schemas.microsoft.com/office/2017/10/relationships/threadedComment" Target="../threadedComments/threadedComment14.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4.bin"/><Relationship Id="rId4" Type="http://schemas.microsoft.com/office/2017/10/relationships/threadedComment" Target="../threadedComments/threadedComment15.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5.bin"/><Relationship Id="rId4" Type="http://schemas.microsoft.com/office/2017/10/relationships/threadedComment" Target="../threadedComments/threadedComment1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 Id="rId4" Type="http://schemas.microsoft.com/office/2017/10/relationships/threadedComment" Target="../threadedComments/threadedComment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 Id="rId4" Type="http://schemas.microsoft.com/office/2017/10/relationships/threadedComment" Target="../threadedComments/threadedComment1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 Id="rId4" Type="http://schemas.microsoft.com/office/2017/10/relationships/threadedComment" Target="../threadedComments/threadedComment19.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5.bin"/><Relationship Id="rId4" Type="http://schemas.microsoft.com/office/2017/10/relationships/threadedComment" Target="../threadedComments/threadedComment20.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6.bin"/><Relationship Id="rId4" Type="http://schemas.microsoft.com/office/2017/10/relationships/threadedComment" Target="../threadedComments/threadedComment21.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7.bin"/><Relationship Id="rId4" Type="http://schemas.microsoft.com/office/2017/10/relationships/threadedComment" Target="../threadedComments/threadedComment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9.bin"/><Relationship Id="rId4" Type="http://schemas.microsoft.com/office/2017/10/relationships/threadedComment" Target="../threadedComments/threadedComment23.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0.bin"/><Relationship Id="rId4" Type="http://schemas.microsoft.com/office/2017/10/relationships/threadedComment" Target="../threadedComments/threadedComment24.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41.bin"/><Relationship Id="rId4" Type="http://schemas.microsoft.com/office/2017/10/relationships/threadedComment" Target="../threadedComments/threadedComment25.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2.bin"/><Relationship Id="rId4" Type="http://schemas.microsoft.com/office/2017/10/relationships/threadedComment" Target="../threadedComments/threadedComment26.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3.bin"/><Relationship Id="rId4" Type="http://schemas.microsoft.com/office/2017/10/relationships/threadedComment" Target="../threadedComments/threadedComment27.xml"/></Relationships>
</file>

<file path=xl/worksheets/_rels/sheet46.xml.rels><?xml version="1.0" encoding="UTF-8" standalone="yes"?>
<Relationships xmlns="http://schemas.openxmlformats.org/package/2006/relationships"><Relationship Id="rId3" Type="http://schemas.microsoft.com/office/2017/10/relationships/threadedComment" Target="../threadedComments/threadedComment28.xml"/><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L63"/>
  <sheetViews>
    <sheetView zoomScaleNormal="100" workbookViewId="0"/>
  </sheetViews>
  <sheetFormatPr defaultColWidth="9.140625" defaultRowHeight="14.85"/>
  <cols>
    <col min="1" max="1" width="39.140625" style="7" customWidth="1"/>
    <col min="2" max="2" width="24.5703125" style="7" customWidth="1"/>
    <col min="3" max="3" width="26.7109375" style="7" customWidth="1"/>
    <col min="4" max="7" width="14.42578125" style="7" bestFit="1" customWidth="1"/>
    <col min="8" max="8" width="11.42578125" style="7" bestFit="1" customWidth="1"/>
    <col min="9" max="10" width="11.28515625" style="7" bestFit="1" customWidth="1"/>
    <col min="11" max="11" width="12.28515625" style="7" bestFit="1" customWidth="1"/>
    <col min="12" max="16384" width="9.140625" style="7"/>
  </cols>
  <sheetData>
    <row r="1" spans="1:12">
      <c r="A1" s="358"/>
      <c r="B1" s="358"/>
      <c r="C1" s="358"/>
      <c r="D1" s="358" t="s">
        <v>0</v>
      </c>
      <c r="E1" s="358" t="s">
        <v>1</v>
      </c>
      <c r="F1" s="358" t="s">
        <v>2</v>
      </c>
      <c r="G1" s="358" t="s">
        <v>3</v>
      </c>
      <c r="H1" s="358" t="s">
        <v>4</v>
      </c>
      <c r="I1" s="358" t="s">
        <v>5</v>
      </c>
      <c r="J1" s="358" t="s">
        <v>6</v>
      </c>
    </row>
    <row r="2" spans="1:12">
      <c r="A2" s="201" t="s">
        <v>7</v>
      </c>
      <c r="B2" s="202"/>
      <c r="C2" s="202"/>
      <c r="D2" s="695">
        <v>297</v>
      </c>
      <c r="E2" s="695">
        <v>1266</v>
      </c>
      <c r="F2" s="695">
        <v>146</v>
      </c>
      <c r="G2" s="695">
        <v>305</v>
      </c>
      <c r="H2" s="695">
        <v>24</v>
      </c>
      <c r="I2" s="473">
        <f>SUM(D2:H2)</f>
        <v>2038</v>
      </c>
      <c r="J2" s="473">
        <f>SUM(D2:G2)</f>
        <v>2014</v>
      </c>
    </row>
    <row r="3" spans="1:12">
      <c r="A3" s="203" t="s">
        <v>8</v>
      </c>
      <c r="B3" s="204"/>
      <c r="C3" s="204"/>
      <c r="D3" s="336">
        <f>D2/$I2</f>
        <v>0.14573110893032384</v>
      </c>
      <c r="E3" s="336">
        <f>E2/$I2</f>
        <v>0.62119725220804711</v>
      </c>
      <c r="F3" s="336">
        <f>F2/$I2</f>
        <v>7.163886162904809E-2</v>
      </c>
      <c r="G3" s="336">
        <f>G2/$I2</f>
        <v>0.14965652600588814</v>
      </c>
      <c r="H3" s="336">
        <f>H2/$I2</f>
        <v>1.1776251226692836E-2</v>
      </c>
      <c r="I3" s="337"/>
      <c r="J3" s="337"/>
    </row>
    <row r="4" spans="1:12">
      <c r="A4" s="205" t="s">
        <v>9</v>
      </c>
      <c r="B4" s="206">
        <v>0</v>
      </c>
      <c r="C4" s="206">
        <v>8438</v>
      </c>
      <c r="D4" s="206">
        <f>D3*$C4</f>
        <v>1229.6790971540727</v>
      </c>
      <c r="E4" s="206">
        <f>E3*$C4</f>
        <v>5241.6624141315015</v>
      </c>
      <c r="F4" s="206">
        <f>F3*$C4</f>
        <v>604.4887144259078</v>
      </c>
      <c r="G4" s="206">
        <f>G3*$C4</f>
        <v>1262.8017664376841</v>
      </c>
      <c r="H4" s="206">
        <f>H3*$C4</f>
        <v>99.368007850834147</v>
      </c>
      <c r="I4" s="206">
        <f>SUM(D4:H4)</f>
        <v>8438</v>
      </c>
      <c r="J4" s="343">
        <f>SUM(D4:G4)</f>
        <v>8338.6319921491668</v>
      </c>
    </row>
    <row r="5" spans="1:12">
      <c r="A5" s="358"/>
      <c r="B5" s="13"/>
      <c r="C5" s="13"/>
      <c r="D5" s="358"/>
      <c r="E5" s="358"/>
      <c r="F5" s="358"/>
      <c r="G5" s="358"/>
      <c r="H5" s="358"/>
      <c r="I5" s="14"/>
      <c r="J5" s="14"/>
    </row>
    <row r="6" spans="1:12" s="358" customFormat="1">
      <c r="A6" s="703" t="s">
        <v>1365</v>
      </c>
      <c r="B6" s="704"/>
      <c r="C6" s="704"/>
      <c r="D6" s="705">
        <f>297+290</f>
        <v>587</v>
      </c>
      <c r="E6" s="705">
        <v>1266</v>
      </c>
      <c r="F6" s="705">
        <v>146</v>
      </c>
      <c r="G6" s="705">
        <v>305</v>
      </c>
      <c r="H6" s="705">
        <v>0</v>
      </c>
      <c r="I6" s="706">
        <f>SUM(D6:H6)</f>
        <v>2304</v>
      </c>
      <c r="J6" s="706">
        <f>SUM(D6:G6)</f>
        <v>2304</v>
      </c>
      <c r="K6" s="381"/>
      <c r="L6" s="381"/>
    </row>
    <row r="7" spans="1:12" s="358" customFormat="1">
      <c r="A7" s="707" t="s">
        <v>8</v>
      </c>
      <c r="B7" s="708"/>
      <c r="C7" s="708"/>
      <c r="D7" s="709">
        <f>D6/$I6</f>
        <v>0.25477430555555558</v>
      </c>
      <c r="E7" s="709">
        <f>E6/$I6</f>
        <v>0.54947916666666663</v>
      </c>
      <c r="F7" s="709">
        <f>F6/$I6</f>
        <v>6.3368055555555552E-2</v>
      </c>
      <c r="G7" s="709">
        <f>G6/$I6</f>
        <v>0.13237847222222221</v>
      </c>
      <c r="H7" s="709">
        <f>H6/$I6</f>
        <v>0</v>
      </c>
      <c r="I7" s="710"/>
      <c r="J7" s="710"/>
      <c r="K7" s="381"/>
      <c r="L7" s="381"/>
    </row>
    <row r="8" spans="1:12" s="358" customFormat="1">
      <c r="A8" s="711" t="s">
        <v>1366</v>
      </c>
      <c r="B8" s="712">
        <v>0</v>
      </c>
      <c r="C8" s="712">
        <v>15000</v>
      </c>
      <c r="D8" s="712">
        <f>ROUND(D7*$C8,0)</f>
        <v>3822</v>
      </c>
      <c r="E8" s="712">
        <f>ROUND(E7*$C8,0)-1</f>
        <v>8241</v>
      </c>
      <c r="F8" s="712">
        <f>ROUND(F7*$C8,0)</f>
        <v>951</v>
      </c>
      <c r="G8" s="712">
        <f>ROUND(G7*$C8,0)</f>
        <v>1986</v>
      </c>
      <c r="H8" s="712">
        <f>ROUND(H7*$C8,0)</f>
        <v>0</v>
      </c>
      <c r="I8" s="712">
        <f>SUM(D8:H8)</f>
        <v>15000</v>
      </c>
      <c r="J8" s="713">
        <f>SUM(D8:G8)</f>
        <v>15000</v>
      </c>
      <c r="K8" s="381"/>
      <c r="L8" s="381"/>
    </row>
    <row r="9" spans="1:12" s="358" customFormat="1">
      <c r="B9" s="13"/>
      <c r="C9" s="13"/>
      <c r="I9" s="14"/>
      <c r="J9" s="14"/>
    </row>
    <row r="10" spans="1:12">
      <c r="A10" s="195" t="s">
        <v>10</v>
      </c>
      <c r="B10" s="196"/>
      <c r="C10" s="196"/>
      <c r="D10" s="696">
        <v>98</v>
      </c>
      <c r="E10" s="696">
        <v>453</v>
      </c>
      <c r="F10" s="696">
        <v>163</v>
      </c>
      <c r="G10" s="696">
        <v>215</v>
      </c>
      <c r="H10" s="696">
        <v>6</v>
      </c>
      <c r="I10" s="474">
        <f>SUM(D10:H10)</f>
        <v>935</v>
      </c>
      <c r="J10" s="472">
        <f>SUM(D10:G10)</f>
        <v>929</v>
      </c>
    </row>
    <row r="11" spans="1:12">
      <c r="A11" s="200" t="s">
        <v>8</v>
      </c>
      <c r="B11" s="197"/>
      <c r="C11" s="197"/>
      <c r="D11" s="338">
        <f>D10/$I10</f>
        <v>0.10481283422459893</v>
      </c>
      <c r="E11" s="338">
        <f>E10/$I10</f>
        <v>0.48449197860962567</v>
      </c>
      <c r="F11" s="338">
        <f>F10/$I10</f>
        <v>0.17433155080213902</v>
      </c>
      <c r="G11" s="338">
        <f>G10/$I10</f>
        <v>0.22994652406417113</v>
      </c>
      <c r="H11" s="338">
        <f>H10/$I10</f>
        <v>6.4171122994652408E-3</v>
      </c>
      <c r="I11" s="339">
        <v>1</v>
      </c>
      <c r="J11" s="339"/>
    </row>
    <row r="12" spans="1:12">
      <c r="A12" s="198" t="s">
        <v>9</v>
      </c>
      <c r="B12" s="199">
        <v>0</v>
      </c>
      <c r="C12" s="199">
        <v>4380</v>
      </c>
      <c r="D12" s="199">
        <f>D11*$C12</f>
        <v>459.0802139037433</v>
      </c>
      <c r="E12" s="199">
        <f>E11*$C12</f>
        <v>2122.0748663101604</v>
      </c>
      <c r="F12" s="199">
        <f>F11*$C12</f>
        <v>763.57219251336892</v>
      </c>
      <c r="G12" s="199">
        <f>G11*$C12</f>
        <v>1007.1657754010695</v>
      </c>
      <c r="H12" s="199">
        <f>H11*$C12</f>
        <v>28.106951871657756</v>
      </c>
      <c r="I12" s="199">
        <f>SUM(D12:H12)</f>
        <v>4380</v>
      </c>
      <c r="J12" s="340">
        <f>SUM(D12:G12)</f>
        <v>4351.8930481283423</v>
      </c>
    </row>
    <row r="13" spans="1:12">
      <c r="A13" s="8"/>
      <c r="B13" s="9"/>
      <c r="C13" s="9"/>
      <c r="D13" s="10"/>
      <c r="E13" s="10"/>
      <c r="F13" s="10"/>
      <c r="G13" s="10"/>
      <c r="H13" s="10"/>
      <c r="I13" s="11"/>
      <c r="J13" s="11"/>
    </row>
    <row r="14" spans="1:12">
      <c r="A14" s="207" t="s">
        <v>11</v>
      </c>
      <c r="B14" s="208"/>
      <c r="C14" s="208"/>
      <c r="D14" s="209">
        <v>1</v>
      </c>
      <c r="E14" s="209">
        <v>28</v>
      </c>
      <c r="F14" s="209">
        <v>4</v>
      </c>
      <c r="G14" s="209">
        <v>13</v>
      </c>
      <c r="H14" s="209">
        <v>0</v>
      </c>
      <c r="I14" s="475">
        <f>SUM(D14:H14)</f>
        <v>46</v>
      </c>
      <c r="J14" s="476">
        <f>SUM(D14:G14)</f>
        <v>46</v>
      </c>
    </row>
    <row r="15" spans="1:12">
      <c r="A15" s="210" t="s">
        <v>8</v>
      </c>
      <c r="B15" s="211"/>
      <c r="C15" s="211"/>
      <c r="D15" s="341">
        <f>D14/$I14</f>
        <v>2.1739130434782608E-2</v>
      </c>
      <c r="E15" s="341">
        <f>E14/$I14</f>
        <v>0.60869565217391308</v>
      </c>
      <c r="F15" s="341">
        <f>F14/$I14</f>
        <v>8.6956521739130432E-2</v>
      </c>
      <c r="G15" s="341">
        <f>G14/$I14</f>
        <v>0.28260869565217389</v>
      </c>
      <c r="H15" s="341">
        <f>H14/$I14</f>
        <v>0</v>
      </c>
      <c r="I15" s="342">
        <v>1</v>
      </c>
      <c r="J15" s="342"/>
    </row>
    <row r="16" spans="1:12">
      <c r="A16" s="212" t="s">
        <v>9</v>
      </c>
      <c r="B16" s="213">
        <v>0</v>
      </c>
      <c r="C16" s="213"/>
      <c r="D16" s="213">
        <f>ROUND(D15*$C16,0)</f>
        <v>0</v>
      </c>
      <c r="E16" s="213">
        <f>ROUND(E15*$C16,0)</f>
        <v>0</v>
      </c>
      <c r="F16" s="213">
        <f>ROUND(F15*$C16,0)</f>
        <v>0</v>
      </c>
      <c r="G16" s="213">
        <f>ROUND(G15*$C16,0)</f>
        <v>0</v>
      </c>
      <c r="H16" s="213">
        <f>ROUND(H15*$C16,0)</f>
        <v>0</v>
      </c>
      <c r="I16" s="213">
        <f>SUM(D16:H16)</f>
        <v>0</v>
      </c>
      <c r="J16" s="344">
        <f>SUM(D16:G16)</f>
        <v>0</v>
      </c>
    </row>
    <row r="17" spans="1:11">
      <c r="A17" s="8"/>
      <c r="B17" s="9"/>
      <c r="C17" s="12"/>
      <c r="D17" s="10"/>
      <c r="E17" s="10"/>
      <c r="F17" s="10"/>
      <c r="G17" s="10"/>
      <c r="H17" s="10"/>
      <c r="I17" s="11"/>
      <c r="J17" s="11"/>
    </row>
    <row r="18" spans="1:11" s="151" customFormat="1" ht="26.2" customHeight="1">
      <c r="A18" s="678" t="s">
        <v>12</v>
      </c>
      <c r="B18" s="718" t="s">
        <v>13</v>
      </c>
      <c r="C18" s="209"/>
      <c r="D18" s="680">
        <v>0.24929999999999999</v>
      </c>
      <c r="E18" s="680">
        <v>0.55710000000000004</v>
      </c>
      <c r="F18" s="680">
        <v>6.9400000000000003E-2</v>
      </c>
      <c r="G18" s="680">
        <v>0.1242</v>
      </c>
      <c r="H18" s="259">
        <v>0</v>
      </c>
      <c r="I18" s="259">
        <v>0</v>
      </c>
      <c r="J18" s="404">
        <f>SUM(D18:I18)</f>
        <v>1</v>
      </c>
    </row>
    <row r="19" spans="1:11" s="151" customFormat="1" ht="21.75" customHeight="1">
      <c r="A19" s="679" t="s">
        <v>14</v>
      </c>
      <c r="B19" s="718"/>
      <c r="C19" s="260">
        <f>Summary!C150</f>
        <v>21359</v>
      </c>
      <c r="D19" s="260">
        <f t="shared" ref="D19:I19" si="0">$C19*D18</f>
        <v>5324.7987000000003</v>
      </c>
      <c r="E19" s="260">
        <f t="shared" si="0"/>
        <v>11899.098900000001</v>
      </c>
      <c r="F19" s="260">
        <f t="shared" si="0"/>
        <v>1482.3146000000002</v>
      </c>
      <c r="G19" s="260">
        <f t="shared" si="0"/>
        <v>2652.7878000000001</v>
      </c>
      <c r="H19" s="261">
        <f t="shared" si="0"/>
        <v>0</v>
      </c>
      <c r="I19" s="261">
        <f t="shared" si="0"/>
        <v>0</v>
      </c>
      <c r="J19" s="261">
        <f>SUM(D19:H19)</f>
        <v>21359</v>
      </c>
    </row>
    <row r="20" spans="1:11">
      <c r="A20" s="8"/>
      <c r="B20" s="478"/>
      <c r="C20" s="9"/>
      <c r="D20" s="358" t="s">
        <v>0</v>
      </c>
      <c r="E20" s="358" t="s">
        <v>1</v>
      </c>
      <c r="F20" s="358" t="s">
        <v>2</v>
      </c>
      <c r="G20" s="358" t="s">
        <v>3</v>
      </c>
      <c r="H20" s="10"/>
      <c r="I20" s="10"/>
      <c r="J20" s="10"/>
    </row>
    <row r="21" spans="1:11">
      <c r="A21" s="359" t="s">
        <v>15</v>
      </c>
      <c r="B21" s="359"/>
      <c r="C21" s="359"/>
      <c r="D21" s="359">
        <v>0.22059405266293161</v>
      </c>
      <c r="E21" s="359">
        <v>0.46647437276318887</v>
      </c>
      <c r="F21" s="359">
        <v>0.14690167620770697</v>
      </c>
      <c r="G21" s="359">
        <v>0.1660298983661726</v>
      </c>
      <c r="H21" s="359"/>
      <c r="I21" s="359"/>
      <c r="J21" s="359"/>
      <c r="K21" s="358"/>
    </row>
    <row r="22" spans="1:11">
      <c r="A22" s="359" t="s">
        <v>16</v>
      </c>
      <c r="B22" s="359"/>
      <c r="C22" s="359"/>
      <c r="D22" s="359">
        <v>0.19369427438850936</v>
      </c>
      <c r="E22" s="359">
        <v>0.50040123465513386</v>
      </c>
      <c r="F22" s="359">
        <v>0.14563726793343121</v>
      </c>
      <c r="G22" s="359">
        <v>0.16026722302292554</v>
      </c>
      <c r="H22" s="359"/>
      <c r="I22" s="359"/>
      <c r="J22" s="359"/>
      <c r="K22" s="358"/>
    </row>
    <row r="23" spans="1:11">
      <c r="A23" s="359" t="s">
        <v>17</v>
      </c>
      <c r="B23" s="359"/>
      <c r="C23" s="359"/>
      <c r="D23" s="359">
        <v>0.21043999999999999</v>
      </c>
      <c r="E23" s="359">
        <v>0.4768</v>
      </c>
      <c r="F23" s="359">
        <v>0.14823</v>
      </c>
      <c r="G23" s="359">
        <v>0.16453000000000001</v>
      </c>
      <c r="H23" s="359"/>
      <c r="I23" s="359"/>
      <c r="J23" s="359"/>
      <c r="K23" s="358"/>
    </row>
    <row r="24" spans="1:11">
      <c r="A24" s="359" t="s">
        <v>18</v>
      </c>
      <c r="B24" s="359"/>
      <c r="C24" s="359"/>
      <c r="D24" s="359">
        <v>0.20954071397127164</v>
      </c>
      <c r="E24" s="359">
        <v>0.47691229079105518</v>
      </c>
      <c r="F24" s="359">
        <v>0.14854805918007455</v>
      </c>
      <c r="G24" s="359">
        <v>0.16499893605759866</v>
      </c>
      <c r="H24" s="359"/>
      <c r="I24" s="359"/>
      <c r="J24" s="359"/>
      <c r="K24" s="358"/>
    </row>
    <row r="25" spans="1:11" s="358" customFormat="1">
      <c r="A25" s="359" t="s">
        <v>19</v>
      </c>
      <c r="B25" s="359"/>
      <c r="C25" s="359"/>
      <c r="D25" s="359">
        <v>0.20169999999999999</v>
      </c>
      <c r="E25" s="359">
        <v>0.49640000000000001</v>
      </c>
      <c r="F25" s="359">
        <v>0.14299999999999999</v>
      </c>
      <c r="G25" s="359">
        <v>0.15890000000000001</v>
      </c>
      <c r="H25" s="359"/>
      <c r="I25" s="359"/>
      <c r="J25" s="359"/>
    </row>
    <row r="26" spans="1:11" s="358" customFormat="1">
      <c r="A26" s="359" t="s">
        <v>20</v>
      </c>
      <c r="B26" s="359"/>
      <c r="C26" s="359"/>
      <c r="D26" s="546">
        <v>0.20119999999999999</v>
      </c>
      <c r="E26" s="546">
        <v>0.52869999999999995</v>
      </c>
      <c r="F26" s="546">
        <v>0.1265</v>
      </c>
      <c r="G26" s="546">
        <v>0.14360000000000001</v>
      </c>
      <c r="H26" s="359"/>
      <c r="I26" s="359"/>
      <c r="J26" s="359"/>
    </row>
    <row r="27" spans="1:11">
      <c r="A27" s="359" t="s">
        <v>21</v>
      </c>
      <c r="B27" s="359"/>
      <c r="C27" s="359"/>
      <c r="D27" s="359">
        <v>0.20099441242174357</v>
      </c>
      <c r="E27" s="359">
        <v>0.53950416724123673</v>
      </c>
      <c r="F27" s="359">
        <v>0.12101573126671998</v>
      </c>
      <c r="G27" s="359">
        <v>0.13848568907029979</v>
      </c>
      <c r="H27" s="359"/>
      <c r="I27" s="359"/>
      <c r="J27" s="359"/>
      <c r="K27" s="358"/>
    </row>
    <row r="28" spans="1:11" s="358" customFormat="1">
      <c r="A28" s="359" t="s">
        <v>22</v>
      </c>
      <c r="B28" s="359"/>
      <c r="C28" s="359"/>
      <c r="D28" s="359">
        <v>0.20080000000000001</v>
      </c>
      <c r="E28" s="359">
        <v>0.55030000000000001</v>
      </c>
      <c r="F28" s="359">
        <v>0.11550000000000001</v>
      </c>
      <c r="G28" s="359">
        <v>0.13339999999999999</v>
      </c>
      <c r="H28" s="359"/>
      <c r="I28" s="359"/>
      <c r="J28" s="359"/>
    </row>
    <row r="29" spans="1:11">
      <c r="D29" s="358" t="s">
        <v>0</v>
      </c>
      <c r="E29" s="358" t="s">
        <v>1</v>
      </c>
      <c r="F29" s="358" t="s">
        <v>2</v>
      </c>
      <c r="G29" s="358" t="s">
        <v>3</v>
      </c>
    </row>
    <row r="30" spans="1:11" s="358" customFormat="1">
      <c r="A30" s="452" t="s">
        <v>23</v>
      </c>
      <c r="B30" s="452"/>
      <c r="C30" s="452"/>
      <c r="D30" s="452">
        <v>0.2319</v>
      </c>
      <c r="E30" s="452">
        <v>0.53510000000000002</v>
      </c>
      <c r="F30" s="452">
        <v>0.10340000000000001</v>
      </c>
      <c r="G30" s="452">
        <v>0.1295</v>
      </c>
      <c r="H30" s="452"/>
      <c r="I30" s="452"/>
      <c r="J30" s="452"/>
    </row>
    <row r="31" spans="1:11" s="358" customFormat="1" ht="29.5" customHeight="1">
      <c r="A31" s="715" t="s">
        <v>24</v>
      </c>
      <c r="B31" s="715"/>
      <c r="C31" s="715"/>
      <c r="D31" s="452">
        <v>0.18479999999999999</v>
      </c>
      <c r="E31" s="452">
        <v>0.57240000000000002</v>
      </c>
      <c r="F31" s="452">
        <v>0.10780000000000001</v>
      </c>
      <c r="G31" s="452">
        <v>0.13500000000000001</v>
      </c>
      <c r="H31" s="452"/>
      <c r="I31" s="452"/>
      <c r="J31" s="452"/>
    </row>
    <row r="32" spans="1:11" s="358" customFormat="1">
      <c r="A32" s="452" t="s">
        <v>25</v>
      </c>
      <c r="B32" s="452"/>
      <c r="C32" s="452"/>
      <c r="D32" s="546">
        <v>0.18479999999999999</v>
      </c>
      <c r="E32" s="546">
        <v>0.57240000000000002</v>
      </c>
      <c r="F32" s="546">
        <v>0.10780000000000001</v>
      </c>
      <c r="G32" s="546">
        <v>0.13500000000000001</v>
      </c>
      <c r="H32" s="452"/>
      <c r="I32" s="452"/>
      <c r="J32" s="452"/>
    </row>
    <row r="33" spans="1:12" s="358" customFormat="1">
      <c r="A33" s="452" t="s">
        <v>26</v>
      </c>
      <c r="B33" s="452"/>
      <c r="C33" s="452"/>
      <c r="D33" s="452">
        <v>0.18809999999999999</v>
      </c>
      <c r="E33" s="452">
        <v>0.60729999999999995</v>
      </c>
      <c r="F33" s="452">
        <v>8.9099999999999999E-2</v>
      </c>
      <c r="G33" s="452">
        <v>0.11550000000000001</v>
      </c>
      <c r="H33" s="452"/>
      <c r="I33" s="452"/>
      <c r="J33" s="452"/>
      <c r="K33" s="358" t="s">
        <v>27</v>
      </c>
    </row>
    <row r="34" spans="1:12" s="358" customFormat="1">
      <c r="A34" s="452" t="s">
        <v>28</v>
      </c>
      <c r="B34" s="452"/>
      <c r="C34" s="452"/>
      <c r="D34" s="452">
        <v>0.18809999999999999</v>
      </c>
      <c r="E34" s="452">
        <v>0.60729999999999995</v>
      </c>
      <c r="F34" s="452">
        <v>8.9099999999999999E-2</v>
      </c>
      <c r="G34" s="452">
        <v>0.11550000000000001</v>
      </c>
      <c r="H34" s="452"/>
      <c r="I34" s="452"/>
      <c r="J34" s="452"/>
      <c r="K34" s="358" t="s">
        <v>27</v>
      </c>
    </row>
    <row r="35" spans="1:12" s="358" customFormat="1"/>
    <row r="36" spans="1:12" s="358" customFormat="1"/>
    <row r="37" spans="1:12" ht="43.05">
      <c r="A37" s="463" t="s">
        <v>29</v>
      </c>
      <c r="B37" s="463" t="s">
        <v>30</v>
      </c>
      <c r="C37" s="463" t="s">
        <v>31</v>
      </c>
      <c r="D37" s="358"/>
      <c r="E37" s="358"/>
      <c r="F37" s="358"/>
      <c r="G37" s="358"/>
      <c r="H37" s="358"/>
      <c r="I37" s="358"/>
      <c r="J37" s="358"/>
      <c r="K37" s="358"/>
      <c r="L37" s="358"/>
    </row>
    <row r="38" spans="1:12">
      <c r="A38" s="193" t="s">
        <v>32</v>
      </c>
      <c r="B38" s="462">
        <v>0.61209999999999998</v>
      </c>
      <c r="C38" s="464">
        <f>Summary!C7/(Summary!C7+Summary!C78)</f>
        <v>0.62011102129888562</v>
      </c>
      <c r="D38" s="358"/>
      <c r="E38" s="358"/>
      <c r="F38" s="358"/>
      <c r="G38" s="358"/>
      <c r="H38" s="358"/>
      <c r="I38" s="358"/>
      <c r="J38" s="358"/>
      <c r="K38" s="358"/>
      <c r="L38" s="358"/>
    </row>
    <row r="39" spans="1:12">
      <c r="A39" s="194" t="s">
        <v>33</v>
      </c>
      <c r="B39" s="462">
        <v>0.38790000000000002</v>
      </c>
      <c r="C39" s="464">
        <f>1-C38</f>
        <v>0.37988897870111438</v>
      </c>
      <c r="D39" s="358"/>
      <c r="E39" s="358"/>
      <c r="F39" s="358"/>
      <c r="G39" s="358"/>
      <c r="H39" s="358"/>
      <c r="I39" s="358"/>
      <c r="J39" s="358"/>
      <c r="K39" s="358"/>
      <c r="L39" s="358"/>
    </row>
    <row r="40" spans="1:12">
      <c r="A40" s="132"/>
      <c r="B40" s="133"/>
      <c r="C40" s="358"/>
      <c r="D40" s="358"/>
      <c r="E40" s="358"/>
      <c r="F40" s="358"/>
      <c r="G40" s="358"/>
      <c r="H40" s="358"/>
      <c r="I40" s="358"/>
      <c r="J40" s="358"/>
      <c r="K40" s="358"/>
      <c r="L40" s="358"/>
    </row>
    <row r="42" spans="1:12">
      <c r="A42" s="358"/>
      <c r="B42" s="188"/>
      <c r="C42" s="189"/>
      <c r="D42" s="189" t="s">
        <v>0</v>
      </c>
      <c r="E42" s="189" t="s">
        <v>1</v>
      </c>
      <c r="F42" s="189" t="s">
        <v>2</v>
      </c>
      <c r="G42" s="189" t="s">
        <v>3</v>
      </c>
      <c r="H42" s="189" t="s">
        <v>4</v>
      </c>
      <c r="I42" s="190" t="s">
        <v>34</v>
      </c>
      <c r="J42" s="358"/>
      <c r="K42" s="358"/>
      <c r="L42" s="358"/>
    </row>
    <row r="43" spans="1:12" ht="43.05">
      <c r="A43" s="345" t="s">
        <v>35</v>
      </c>
      <c r="B43" s="345" t="s">
        <v>36</v>
      </c>
      <c r="C43" s="347" t="s">
        <v>37</v>
      </c>
      <c r="D43" s="499">
        <v>49348</v>
      </c>
      <c r="E43" s="499">
        <v>152849</v>
      </c>
      <c r="F43" s="499">
        <v>28786</v>
      </c>
      <c r="G43" s="499">
        <v>36049</v>
      </c>
      <c r="H43" s="499">
        <v>4663</v>
      </c>
      <c r="I43" s="346"/>
      <c r="J43" s="358" t="s">
        <v>38</v>
      </c>
      <c r="K43" s="358"/>
      <c r="L43" s="358"/>
    </row>
    <row r="44" spans="1:12" ht="43.05">
      <c r="A44" s="358"/>
      <c r="B44" s="345" t="s">
        <v>39</v>
      </c>
      <c r="C44" s="347"/>
      <c r="D44" s="346">
        <v>0</v>
      </c>
      <c r="E44" s="346">
        <v>0</v>
      </c>
      <c r="F44" s="346">
        <v>0</v>
      </c>
      <c r="G44" s="346">
        <v>0</v>
      </c>
      <c r="H44" s="346">
        <v>0</v>
      </c>
      <c r="I44" s="346"/>
      <c r="J44" s="358"/>
      <c r="K44" s="358"/>
      <c r="L44" s="358"/>
    </row>
    <row r="45" spans="1:12" s="286" customFormat="1" ht="43.05">
      <c r="A45" s="358"/>
      <c r="B45" s="345" t="s">
        <v>39</v>
      </c>
      <c r="C45" s="347"/>
      <c r="D45" s="346">
        <v>0</v>
      </c>
      <c r="E45" s="346">
        <v>0</v>
      </c>
      <c r="F45" s="346">
        <v>0</v>
      </c>
      <c r="G45" s="346">
        <v>0</v>
      </c>
      <c r="H45" s="346">
        <v>0</v>
      </c>
      <c r="I45" s="346"/>
      <c r="J45" s="358"/>
      <c r="K45" s="358"/>
      <c r="L45" s="358"/>
    </row>
    <row r="46" spans="1:12">
      <c r="A46" s="358"/>
      <c r="B46" s="345" t="s">
        <v>40</v>
      </c>
      <c r="C46" s="346">
        <f>SUM(D43:H45)</f>
        <v>271695</v>
      </c>
      <c r="D46" s="191">
        <f>SUM(D43:D45)/$C46</f>
        <v>0.18163013673420564</v>
      </c>
      <c r="E46" s="191">
        <f>SUM(E43:E45)/$C46</f>
        <v>0.56257568229080401</v>
      </c>
      <c r="F46" s="191">
        <f>SUM(F43:F45)/$C46</f>
        <v>0.10594968622904359</v>
      </c>
      <c r="G46" s="191">
        <f>SUM(G43:G45)/$C46</f>
        <v>0.13268186753528774</v>
      </c>
      <c r="H46" s="191">
        <f>SUM(H43:H45)/$C46</f>
        <v>1.7162627210659011E-2</v>
      </c>
      <c r="I46" s="191"/>
      <c r="J46" s="358"/>
      <c r="K46" s="358"/>
      <c r="L46" s="358"/>
    </row>
    <row r="47" spans="1:12">
      <c r="A47" s="358"/>
      <c r="B47" s="345" t="s">
        <v>41</v>
      </c>
      <c r="C47" s="192"/>
      <c r="D47" s="191">
        <f>SUM(D43:D45)/($C46-SUM($H43:$H45))</f>
        <v>0.18480182150453878</v>
      </c>
      <c r="E47" s="191">
        <f>SUM(E43:E45)/($C46-SUM($H43:$H45))</f>
        <v>0.57239956259923908</v>
      </c>
      <c r="F47" s="191">
        <f>SUM(F43:F45)/($C46-SUM($H43:$H45))</f>
        <v>0.10779981425447137</v>
      </c>
      <c r="G47" s="191">
        <f>SUM(G43:G45)/($C46-SUM($H43:$H45))</f>
        <v>0.13499880164175079</v>
      </c>
      <c r="H47" s="191"/>
      <c r="I47" s="191"/>
      <c r="J47" s="358"/>
      <c r="K47" s="358"/>
      <c r="L47" s="358"/>
    </row>
    <row r="48" spans="1:12">
      <c r="A48" s="358"/>
      <c r="B48" s="134"/>
      <c r="C48" s="14"/>
      <c r="D48" s="14"/>
      <c r="E48" s="14"/>
      <c r="F48" s="14"/>
      <c r="G48" s="14"/>
      <c r="H48" s="14"/>
      <c r="I48" s="135"/>
      <c r="J48" s="358"/>
      <c r="K48" s="358"/>
      <c r="L48" s="358"/>
    </row>
    <row r="49" spans="1:12" ht="28.95">
      <c r="A49" s="184" t="s">
        <v>33</v>
      </c>
      <c r="B49" s="184" t="s">
        <v>42</v>
      </c>
      <c r="C49" s="222" t="s">
        <v>43</v>
      </c>
      <c r="D49" s="499">
        <v>33955</v>
      </c>
      <c r="E49" s="499">
        <v>89226</v>
      </c>
      <c r="F49" s="499">
        <v>21349</v>
      </c>
      <c r="G49" s="499">
        <v>24235</v>
      </c>
      <c r="H49" s="499">
        <v>566</v>
      </c>
      <c r="I49" s="499">
        <v>9000</v>
      </c>
      <c r="J49" s="716" t="s">
        <v>44</v>
      </c>
      <c r="K49" s="717"/>
      <c r="L49" s="717"/>
    </row>
    <row r="50" spans="1:12" ht="43.05">
      <c r="A50" s="358"/>
      <c r="B50" s="184" t="s">
        <v>39</v>
      </c>
      <c r="C50" s="222"/>
      <c r="D50" s="185">
        <v>0</v>
      </c>
      <c r="E50" s="185">
        <v>0</v>
      </c>
      <c r="F50" s="185">
        <v>0</v>
      </c>
      <c r="G50" s="185">
        <v>0</v>
      </c>
      <c r="H50" s="185">
        <v>0</v>
      </c>
      <c r="I50" s="185"/>
      <c r="J50" s="358"/>
      <c r="K50" s="358"/>
      <c r="L50" s="358"/>
    </row>
    <row r="51" spans="1:12">
      <c r="A51" s="358"/>
      <c r="B51" s="184" t="s">
        <v>40</v>
      </c>
      <c r="C51" s="185">
        <f>SUM(D49:I50)</f>
        <v>178331</v>
      </c>
      <c r="D51" s="186">
        <f t="shared" ref="D51:I51" si="1">SUM(D49:D50)/$C51</f>
        <v>0.19040436043088413</v>
      </c>
      <c r="E51" s="186">
        <f t="shared" si="1"/>
        <v>0.50033925677532232</v>
      </c>
      <c r="F51" s="186">
        <f t="shared" si="1"/>
        <v>0.11971558506372981</v>
      </c>
      <c r="G51" s="186">
        <f t="shared" si="1"/>
        <v>0.13589897437910403</v>
      </c>
      <c r="H51" s="186">
        <f t="shared" si="1"/>
        <v>3.1738733030151796E-3</v>
      </c>
      <c r="I51" s="186">
        <f t="shared" si="1"/>
        <v>5.0467950047944556E-2</v>
      </c>
      <c r="J51" s="358"/>
      <c r="K51" s="358"/>
      <c r="L51" s="358"/>
    </row>
    <row r="52" spans="1:12" ht="28.95">
      <c r="A52" s="358"/>
      <c r="B52" s="184" t="s">
        <v>45</v>
      </c>
      <c r="C52" s="187"/>
      <c r="D52" s="186">
        <f>SUM(D49:D50)/($C51-SUM($H49:$I50))</f>
        <v>0.2011969306432021</v>
      </c>
      <c r="E52" s="186">
        <f>SUM(E49:E50)/($C51-SUM($H49:$I50))</f>
        <v>0.52869967114034311</v>
      </c>
      <c r="F52" s="186">
        <f>SUM(F49:F50)/($C51-SUM($H49:$I50))</f>
        <v>0.12650134802832341</v>
      </c>
      <c r="G52" s="186">
        <f>SUM(G49:G50)/($C51-SUM($H49:$I50))</f>
        <v>0.14360205018813144</v>
      </c>
      <c r="H52" s="186"/>
      <c r="I52" s="186"/>
      <c r="J52" s="358"/>
      <c r="K52" s="358"/>
      <c r="L52" s="358"/>
    </row>
    <row r="56" spans="1:12">
      <c r="B56" s="714" t="s">
        <v>46</v>
      </c>
      <c r="C56" s="714"/>
      <c r="D56" s="714"/>
      <c r="E56" s="714"/>
      <c r="F56" s="714"/>
      <c r="G56" s="358"/>
    </row>
    <row r="57" spans="1:12">
      <c r="B57" s="355"/>
      <c r="C57" s="353" t="s">
        <v>0</v>
      </c>
      <c r="D57" s="353" t="s">
        <v>1</v>
      </c>
      <c r="E57" s="353" t="s">
        <v>2</v>
      </c>
      <c r="F57" s="353" t="s">
        <v>3</v>
      </c>
      <c r="G57" s="358"/>
    </row>
    <row r="58" spans="1:12">
      <c r="B58" s="353" t="s">
        <v>47</v>
      </c>
      <c r="C58" s="351">
        <v>0.19800000000000001</v>
      </c>
      <c r="D58" s="351">
        <v>0.71199999999999997</v>
      </c>
      <c r="E58" s="351">
        <v>3.3000000000000002E-2</v>
      </c>
      <c r="F58" s="351">
        <v>5.7000000000000002E-2</v>
      </c>
      <c r="G58" s="358"/>
    </row>
    <row r="59" spans="1:12">
      <c r="B59" s="353" t="s">
        <v>48</v>
      </c>
      <c r="C59" s="351">
        <v>0.20949999999999999</v>
      </c>
      <c r="D59" s="351">
        <v>0.47689999999999999</v>
      </c>
      <c r="E59" s="351">
        <v>0.14849999999999999</v>
      </c>
      <c r="F59" s="351">
        <v>0.16500000000000001</v>
      </c>
      <c r="G59" s="358"/>
    </row>
    <row r="60" spans="1:12" ht="74.25">
      <c r="B60" s="352" t="s">
        <v>49</v>
      </c>
      <c r="C60" s="351">
        <v>0.20169999999999999</v>
      </c>
      <c r="D60" s="351">
        <v>0.49640000000000001</v>
      </c>
      <c r="E60" s="351">
        <v>0.14299999999999999</v>
      </c>
      <c r="F60" s="351">
        <v>0.15890000000000001</v>
      </c>
      <c r="G60" s="358"/>
    </row>
    <row r="61" spans="1:12" ht="29.7">
      <c r="B61" s="352" t="s">
        <v>50</v>
      </c>
      <c r="C61" s="351">
        <v>0.20118156319810254</v>
      </c>
      <c r="D61" s="351">
        <v>0.52872317769381394</v>
      </c>
      <c r="E61" s="351">
        <v>0.12651671447088997</v>
      </c>
      <c r="F61" s="351">
        <v>0.14357854463719352</v>
      </c>
      <c r="G61" s="358"/>
    </row>
    <row r="62" spans="1:12" ht="29.7">
      <c r="B62" s="352" t="s">
        <v>51</v>
      </c>
      <c r="C62" s="351">
        <v>0.20099441242174357</v>
      </c>
      <c r="D62" s="351">
        <v>0.53950416724123673</v>
      </c>
      <c r="E62" s="351">
        <v>0.12101573126671998</v>
      </c>
      <c r="F62" s="351">
        <v>0.13848568907029979</v>
      </c>
      <c r="G62" s="358" t="s">
        <v>52</v>
      </c>
    </row>
    <row r="63" spans="1:12" ht="29.7">
      <c r="B63" s="352" t="s">
        <v>53</v>
      </c>
      <c r="C63" s="351">
        <v>0.20080726164538459</v>
      </c>
      <c r="D63" s="351">
        <v>0.5502851567886593</v>
      </c>
      <c r="E63" s="351">
        <v>0.11551474806254999</v>
      </c>
      <c r="F63" s="351">
        <v>0.13339283350340606</v>
      </c>
      <c r="G63" s="358" t="s">
        <v>52</v>
      </c>
    </row>
  </sheetData>
  <mergeCells count="4">
    <mergeCell ref="B56:F56"/>
    <mergeCell ref="A31:C31"/>
    <mergeCell ref="J49:L49"/>
    <mergeCell ref="B18:B19"/>
  </mergeCells>
  <printOptions horizontalCentered="1"/>
  <pageMargins left="0.2" right="0.2" top="0.5" bottom="0.5" header="0.3" footer="0.3"/>
  <pageSetup scale="79" fitToHeight="0" orientation="landscape" r:id="rId1"/>
  <headerFooter>
    <oddHeader xml:space="preserve">&amp;CDRAFT NOT FOR DISTRIBUTION, INTERNAL USE ONLY
</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N178"/>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32.5703125" customWidth="1"/>
  </cols>
  <sheetData>
    <row r="1" spans="1:14" ht="15.6">
      <c r="A1" s="745" t="s">
        <v>346</v>
      </c>
      <c r="B1" s="745"/>
      <c r="C1" s="745"/>
      <c r="D1" s="745"/>
      <c r="E1" s="745"/>
      <c r="F1" s="745"/>
      <c r="G1" s="745"/>
      <c r="H1" s="745"/>
      <c r="I1" s="745"/>
      <c r="J1" s="745"/>
      <c r="K1" s="745"/>
      <c r="L1" s="745"/>
      <c r="M1" s="745"/>
      <c r="N1" s="745"/>
    </row>
    <row r="2" spans="1:14">
      <c r="A2" s="65" t="s">
        <v>402</v>
      </c>
      <c r="B2" s="381"/>
      <c r="C2" s="687"/>
      <c r="D2" s="381"/>
      <c r="E2" s="381"/>
      <c r="F2" s="381"/>
      <c r="G2" s="381"/>
      <c r="H2" s="381"/>
      <c r="I2" s="381"/>
      <c r="J2" s="381"/>
      <c r="K2" s="381"/>
      <c r="L2" s="381"/>
      <c r="M2" s="381"/>
      <c r="N2" s="381"/>
    </row>
    <row r="3" spans="1:14">
      <c r="A3" s="68" t="s">
        <v>403</v>
      </c>
      <c r="B3" s="381"/>
      <c r="C3" s="687"/>
      <c r="D3" s="381"/>
      <c r="E3" s="381"/>
      <c r="F3" s="554" t="s">
        <v>275</v>
      </c>
      <c r="G3" s="381"/>
      <c r="H3" s="381"/>
      <c r="I3" s="381"/>
      <c r="J3" s="381"/>
      <c r="K3" s="381"/>
      <c r="L3" s="381"/>
      <c r="M3" s="381"/>
      <c r="N3" s="381"/>
    </row>
    <row r="4" spans="1:14">
      <c r="A4" s="68" t="s">
        <v>404</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405</v>
      </c>
      <c r="B7" s="36" t="s">
        <v>406</v>
      </c>
      <c r="C7" s="37" t="s">
        <v>287</v>
      </c>
      <c r="D7" s="38">
        <v>1</v>
      </c>
      <c r="E7" s="263">
        <v>165</v>
      </c>
      <c r="F7" s="309">
        <f t="shared" ref="F7:F15" si="0">SUM(G7:M7)</f>
        <v>170</v>
      </c>
      <c r="G7" s="310">
        <v>0</v>
      </c>
      <c r="H7" s="310">
        <v>0</v>
      </c>
      <c r="I7" s="310">
        <v>0</v>
      </c>
      <c r="J7" s="310">
        <v>170</v>
      </c>
      <c r="K7" s="310">
        <v>0</v>
      </c>
      <c r="L7" s="310">
        <v>0</v>
      </c>
      <c r="M7" s="311">
        <v>0</v>
      </c>
      <c r="N7" s="325"/>
    </row>
    <row r="8" spans="1:14" ht="15.05" customHeight="1">
      <c r="A8" s="36" t="s">
        <v>286</v>
      </c>
      <c r="B8" s="36"/>
      <c r="C8" s="37" t="s">
        <v>287</v>
      </c>
      <c r="D8" s="39"/>
      <c r="E8" s="263">
        <v>0</v>
      </c>
      <c r="F8" s="309">
        <f t="shared" si="0"/>
        <v>0</v>
      </c>
      <c r="G8" s="310">
        <v>0</v>
      </c>
      <c r="H8" s="310">
        <v>0</v>
      </c>
      <c r="I8" s="310">
        <v>0</v>
      </c>
      <c r="J8" s="310"/>
      <c r="K8" s="310">
        <v>0</v>
      </c>
      <c r="L8" s="310">
        <v>0</v>
      </c>
      <c r="M8" s="311">
        <v>0</v>
      </c>
      <c r="N8" s="355"/>
    </row>
    <row r="9" spans="1:14" ht="15.05" customHeight="1">
      <c r="A9" s="36" t="s">
        <v>407</v>
      </c>
      <c r="B9" s="264" t="s">
        <v>408</v>
      </c>
      <c r="C9" s="37" t="s">
        <v>287</v>
      </c>
      <c r="D9" s="39">
        <v>1</v>
      </c>
      <c r="E9" s="263">
        <v>165</v>
      </c>
      <c r="F9" s="309">
        <f t="shared" si="0"/>
        <v>170</v>
      </c>
      <c r="G9" s="310">
        <v>0</v>
      </c>
      <c r="H9" s="310">
        <v>0</v>
      </c>
      <c r="I9" s="310">
        <v>0</v>
      </c>
      <c r="J9" s="310">
        <v>170</v>
      </c>
      <c r="K9" s="310">
        <v>0</v>
      </c>
      <c r="L9" s="310">
        <v>0</v>
      </c>
      <c r="M9" s="311">
        <v>0</v>
      </c>
      <c r="N9" s="94"/>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2</v>
      </c>
      <c r="E16" s="43">
        <f t="shared" si="1"/>
        <v>330</v>
      </c>
      <c r="F16" s="43">
        <f t="shared" si="1"/>
        <v>340</v>
      </c>
      <c r="G16" s="43">
        <f t="shared" si="1"/>
        <v>0</v>
      </c>
      <c r="H16" s="43">
        <f t="shared" si="1"/>
        <v>0</v>
      </c>
      <c r="I16" s="43">
        <f t="shared" si="1"/>
        <v>0</v>
      </c>
      <c r="J16" s="43">
        <f t="shared" si="1"/>
        <v>340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s="285" customFormat="1" ht="74.25">
      <c r="A18" s="264" t="s">
        <v>409</v>
      </c>
      <c r="B18" s="95" t="s">
        <v>410</v>
      </c>
      <c r="C18" s="44">
        <v>253</v>
      </c>
      <c r="D18" s="267"/>
      <c r="E18" s="263">
        <v>25</v>
      </c>
      <c r="F18" s="309">
        <f>SUM(G18:M18)</f>
        <v>0</v>
      </c>
      <c r="G18" s="310">
        <v>0</v>
      </c>
      <c r="H18" s="310">
        <v>0</v>
      </c>
      <c r="I18" s="310">
        <v>0</v>
      </c>
      <c r="J18" s="310">
        <v>0</v>
      </c>
      <c r="K18" s="310">
        <v>0</v>
      </c>
      <c r="L18" s="310">
        <v>0</v>
      </c>
      <c r="M18" s="311">
        <v>0</v>
      </c>
      <c r="N18" s="699" t="s">
        <v>1347</v>
      </c>
    </row>
    <row r="19" spans="1:14">
      <c r="A19" s="264" t="s">
        <v>355</v>
      </c>
      <c r="B19" s="264"/>
      <c r="C19" s="44">
        <v>253</v>
      </c>
      <c r="D19" s="45"/>
      <c r="E19" s="263">
        <v>0</v>
      </c>
      <c r="F19" s="309">
        <f>SUM(G19:M19)</f>
        <v>0</v>
      </c>
      <c r="G19" s="310">
        <v>0</v>
      </c>
      <c r="H19" s="310">
        <v>0</v>
      </c>
      <c r="I19" s="310">
        <v>0</v>
      </c>
      <c r="J19" s="310">
        <v>0</v>
      </c>
      <c r="K19" s="310">
        <v>0</v>
      </c>
      <c r="L19" s="310">
        <v>0</v>
      </c>
      <c r="M19" s="311">
        <v>0</v>
      </c>
      <c r="N19" s="326"/>
    </row>
    <row r="20" spans="1:14" s="285" customFormat="1">
      <c r="A20" s="264" t="s">
        <v>355</v>
      </c>
      <c r="B20" s="305"/>
      <c r="C20" s="44">
        <v>253</v>
      </c>
      <c r="D20" s="267"/>
      <c r="E20" s="263">
        <v>0</v>
      </c>
      <c r="F20" s="309">
        <f>SUM(G20:M20)</f>
        <v>0</v>
      </c>
      <c r="G20" s="310">
        <v>0</v>
      </c>
      <c r="H20" s="310">
        <v>0</v>
      </c>
      <c r="I20" s="310">
        <v>0</v>
      </c>
      <c r="J20" s="310">
        <v>0</v>
      </c>
      <c r="K20" s="310">
        <v>0</v>
      </c>
      <c r="L20" s="310">
        <v>0</v>
      </c>
      <c r="M20" s="311">
        <v>0</v>
      </c>
      <c r="N20" s="306"/>
    </row>
    <row r="21" spans="1:14" s="7" customFormat="1">
      <c r="A21" s="264" t="s">
        <v>411</v>
      </c>
      <c r="B21" s="264"/>
      <c r="C21" s="44">
        <v>253</v>
      </c>
      <c r="D21" s="267"/>
      <c r="E21" s="263">
        <v>0</v>
      </c>
      <c r="F21" s="309">
        <f>SUM(G21:M21)</f>
        <v>0</v>
      </c>
      <c r="G21" s="310">
        <v>0</v>
      </c>
      <c r="H21" s="310">
        <v>0</v>
      </c>
      <c r="I21" s="310">
        <v>0</v>
      </c>
      <c r="J21" s="310">
        <v>0</v>
      </c>
      <c r="K21" s="310">
        <v>0</v>
      </c>
      <c r="L21" s="310">
        <v>0</v>
      </c>
      <c r="M21" s="311">
        <v>0</v>
      </c>
      <c r="N21" s="326"/>
    </row>
    <row r="22" spans="1:14">
      <c r="A22" s="40" t="s">
        <v>294</v>
      </c>
      <c r="B22" s="265"/>
      <c r="C22" s="266"/>
      <c r="D22" s="267">
        <f>SUM(D19:D21)</f>
        <v>0</v>
      </c>
      <c r="E22" s="43">
        <f>SUM(E18:E21)</f>
        <v>25</v>
      </c>
      <c r="F22" s="43">
        <f>SUM(F18:F21)</f>
        <v>0</v>
      </c>
      <c r="G22" s="43">
        <f t="shared" ref="G22:M22" si="2">SUM(G18:G21)</f>
        <v>0</v>
      </c>
      <c r="H22" s="43">
        <f t="shared" si="2"/>
        <v>0</v>
      </c>
      <c r="I22" s="43">
        <f t="shared" si="2"/>
        <v>0</v>
      </c>
      <c r="J22" s="43">
        <f t="shared" si="2"/>
        <v>0</v>
      </c>
      <c r="K22" s="43">
        <f t="shared" si="2"/>
        <v>0</v>
      </c>
      <c r="L22" s="43">
        <f t="shared" si="2"/>
        <v>0</v>
      </c>
      <c r="M22" s="43">
        <f t="shared" si="2"/>
        <v>0</v>
      </c>
      <c r="N22" s="94"/>
    </row>
    <row r="23" spans="1:14" s="7" customFormat="1">
      <c r="A23" s="127" t="s">
        <v>295</v>
      </c>
      <c r="B23" s="128"/>
      <c r="C23" s="128"/>
      <c r="D23" s="128"/>
      <c r="E23" s="89"/>
      <c r="F23" s="89"/>
      <c r="G23" s="89"/>
      <c r="H23" s="89"/>
      <c r="I23" s="89"/>
      <c r="J23" s="89"/>
      <c r="K23" s="89"/>
      <c r="L23" s="89"/>
      <c r="M23" s="89"/>
      <c r="N23" s="130"/>
    </row>
    <row r="24" spans="1:14" s="381" customFormat="1" ht="29.7">
      <c r="A24" s="555" t="s">
        <v>296</v>
      </c>
      <c r="B24" s="57"/>
      <c r="C24" s="641" t="s">
        <v>297</v>
      </c>
      <c r="D24" s="38">
        <v>0</v>
      </c>
      <c r="E24" s="263">
        <v>16</v>
      </c>
      <c r="F24" s="309">
        <f t="shared" ref="F24" si="3">SUM(G24:M24)</f>
        <v>20</v>
      </c>
      <c r="G24" s="310">
        <v>0</v>
      </c>
      <c r="H24" s="310">
        <v>0</v>
      </c>
      <c r="I24" s="310">
        <v>0</v>
      </c>
      <c r="J24" s="310">
        <v>20</v>
      </c>
      <c r="K24" s="310">
        <v>0</v>
      </c>
      <c r="L24" s="310">
        <v>0</v>
      </c>
      <c r="M24" s="311">
        <v>0</v>
      </c>
      <c r="N24" s="325" t="s">
        <v>412</v>
      </c>
    </row>
    <row r="25" spans="1:14" s="381" customFormat="1" ht="29.7">
      <c r="A25" s="264" t="s">
        <v>296</v>
      </c>
      <c r="B25" s="36"/>
      <c r="C25" s="37" t="s">
        <v>297</v>
      </c>
      <c r="D25" s="38"/>
      <c r="E25" s="263">
        <v>0</v>
      </c>
      <c r="F25" s="309">
        <f t="shared" ref="F25:F38" si="4">SUM(G25:M25)</f>
        <v>0</v>
      </c>
      <c r="G25" s="310">
        <v>0</v>
      </c>
      <c r="H25" s="310">
        <v>0</v>
      </c>
      <c r="I25" s="310">
        <v>0</v>
      </c>
      <c r="J25" s="310">
        <v>0</v>
      </c>
      <c r="K25" s="310">
        <v>0</v>
      </c>
      <c r="L25" s="310">
        <v>0</v>
      </c>
      <c r="M25" s="311">
        <v>0</v>
      </c>
      <c r="N25" s="325" t="s">
        <v>413</v>
      </c>
    </row>
    <row r="26" spans="1:14">
      <c r="A26" s="264" t="s">
        <v>298</v>
      </c>
      <c r="B26" s="36"/>
      <c r="C26" s="44" t="s">
        <v>299</v>
      </c>
      <c r="D26" s="45"/>
      <c r="E26" s="263">
        <v>0</v>
      </c>
      <c r="F26" s="309">
        <f t="shared" si="4"/>
        <v>0</v>
      </c>
      <c r="G26" s="310">
        <v>0</v>
      </c>
      <c r="H26" s="310">
        <v>0</v>
      </c>
      <c r="I26" s="310">
        <v>0</v>
      </c>
      <c r="J26" s="310">
        <v>0</v>
      </c>
      <c r="K26" s="310">
        <v>0</v>
      </c>
      <c r="L26" s="310">
        <v>0</v>
      </c>
      <c r="M26" s="311">
        <v>0</v>
      </c>
      <c r="N26" s="355"/>
    </row>
    <row r="27" spans="1:14">
      <c r="A27" s="264" t="s">
        <v>300</v>
      </c>
      <c r="B27" s="36"/>
      <c r="C27" s="44" t="s">
        <v>301</v>
      </c>
      <c r="D27" s="45"/>
      <c r="E27" s="263">
        <v>0</v>
      </c>
      <c r="F27" s="309">
        <f t="shared" si="4"/>
        <v>0</v>
      </c>
      <c r="G27" s="310">
        <v>0</v>
      </c>
      <c r="H27" s="310">
        <v>0</v>
      </c>
      <c r="I27" s="310">
        <v>0</v>
      </c>
      <c r="J27" s="310">
        <v>0</v>
      </c>
      <c r="K27" s="310">
        <v>0</v>
      </c>
      <c r="L27" s="310">
        <v>0</v>
      </c>
      <c r="M27" s="311">
        <v>0</v>
      </c>
      <c r="N27" s="355"/>
    </row>
    <row r="28" spans="1:14">
      <c r="A28" s="264" t="s">
        <v>302</v>
      </c>
      <c r="B28" s="36"/>
      <c r="C28" s="44" t="s">
        <v>303</v>
      </c>
      <c r="D28" s="45"/>
      <c r="E28" s="263">
        <v>0</v>
      </c>
      <c r="F28" s="309">
        <f t="shared" si="4"/>
        <v>0</v>
      </c>
      <c r="G28" s="310">
        <v>0</v>
      </c>
      <c r="H28" s="310">
        <v>0</v>
      </c>
      <c r="I28" s="310">
        <v>0</v>
      </c>
      <c r="J28" s="310">
        <v>0</v>
      </c>
      <c r="K28" s="310">
        <v>0</v>
      </c>
      <c r="L28" s="310">
        <v>0</v>
      </c>
      <c r="M28" s="311">
        <v>0</v>
      </c>
      <c r="N28" s="355"/>
    </row>
    <row r="29" spans="1:14" ht="59.4">
      <c r="A29" s="264" t="s">
        <v>304</v>
      </c>
      <c r="B29" s="36"/>
      <c r="C29" s="44">
        <v>251</v>
      </c>
      <c r="D29" s="45"/>
      <c r="E29" s="263">
        <v>0</v>
      </c>
      <c r="F29" s="309">
        <f t="shared" si="4"/>
        <v>25</v>
      </c>
      <c r="G29" s="310">
        <v>0</v>
      </c>
      <c r="H29" s="310">
        <v>0</v>
      </c>
      <c r="I29" s="310">
        <v>0</v>
      </c>
      <c r="J29" s="310">
        <v>25</v>
      </c>
      <c r="K29" s="310">
        <v>0</v>
      </c>
      <c r="L29" s="310">
        <v>0</v>
      </c>
      <c r="M29" s="311">
        <v>0</v>
      </c>
      <c r="N29" s="374" t="s">
        <v>1348</v>
      </c>
    </row>
    <row r="30" spans="1:14">
      <c r="A30" s="264" t="s">
        <v>313</v>
      </c>
      <c r="B30" s="36"/>
      <c r="C30" s="44">
        <v>252</v>
      </c>
      <c r="D30" s="45"/>
      <c r="E30" s="263">
        <v>0</v>
      </c>
      <c r="F30" s="309">
        <f t="shared" si="4"/>
        <v>75</v>
      </c>
      <c r="G30" s="310">
        <v>0</v>
      </c>
      <c r="H30" s="310">
        <v>0</v>
      </c>
      <c r="I30" s="310">
        <v>0</v>
      </c>
      <c r="J30" s="310">
        <v>75</v>
      </c>
      <c r="K30" s="310">
        <v>0</v>
      </c>
      <c r="L30" s="310">
        <v>0</v>
      </c>
      <c r="M30" s="311">
        <v>0</v>
      </c>
      <c r="N30" s="355" t="s">
        <v>1357</v>
      </c>
    </row>
    <row r="31" spans="1:14">
      <c r="A31" s="264" t="s">
        <v>314</v>
      </c>
      <c r="B31" s="36"/>
      <c r="C31" s="44">
        <v>252</v>
      </c>
      <c r="D31" s="45"/>
      <c r="E31" s="263">
        <v>0</v>
      </c>
      <c r="F31" s="309">
        <f t="shared" si="4"/>
        <v>0</v>
      </c>
      <c r="G31" s="310">
        <v>0</v>
      </c>
      <c r="H31" s="310">
        <v>0</v>
      </c>
      <c r="I31" s="310">
        <v>0</v>
      </c>
      <c r="J31" s="310">
        <v>0</v>
      </c>
      <c r="K31" s="310">
        <v>0</v>
      </c>
      <c r="L31" s="310">
        <v>0</v>
      </c>
      <c r="M31" s="311">
        <v>0</v>
      </c>
      <c r="N31" s="355"/>
    </row>
    <row r="32" spans="1:14">
      <c r="A32" s="264" t="s">
        <v>315</v>
      </c>
      <c r="B32" s="36"/>
      <c r="C32" s="44">
        <v>253</v>
      </c>
      <c r="D32" s="264"/>
      <c r="E32" s="263">
        <v>0</v>
      </c>
      <c r="F32" s="309">
        <f t="shared" si="4"/>
        <v>0</v>
      </c>
      <c r="G32" s="310">
        <v>0</v>
      </c>
      <c r="H32" s="310">
        <v>0</v>
      </c>
      <c r="I32" s="310">
        <v>0</v>
      </c>
      <c r="J32" s="310">
        <v>0</v>
      </c>
      <c r="K32" s="310">
        <v>0</v>
      </c>
      <c r="L32" s="310">
        <v>0</v>
      </c>
      <c r="M32" s="311">
        <v>0</v>
      </c>
      <c r="N32" s="355"/>
    </row>
    <row r="33" spans="1:14">
      <c r="A33" s="264" t="s">
        <v>316</v>
      </c>
      <c r="B33" s="36"/>
      <c r="C33" s="44">
        <v>255</v>
      </c>
      <c r="D33" s="264"/>
      <c r="E33" s="263">
        <v>0</v>
      </c>
      <c r="F33" s="309">
        <f t="shared" si="4"/>
        <v>0</v>
      </c>
      <c r="G33" s="310">
        <v>0</v>
      </c>
      <c r="H33" s="310">
        <v>0</v>
      </c>
      <c r="I33" s="310">
        <v>0</v>
      </c>
      <c r="J33" s="310">
        <v>0</v>
      </c>
      <c r="K33" s="310">
        <v>0</v>
      </c>
      <c r="L33" s="310">
        <v>0</v>
      </c>
      <c r="M33" s="311">
        <v>0</v>
      </c>
      <c r="N33" s="355"/>
    </row>
    <row r="34" spans="1:14">
      <c r="A34" s="264" t="s">
        <v>317</v>
      </c>
      <c r="B34" s="36"/>
      <c r="C34" s="44">
        <v>256</v>
      </c>
      <c r="D34" s="264"/>
      <c r="E34" s="263">
        <v>0</v>
      </c>
      <c r="F34" s="309">
        <f t="shared" si="4"/>
        <v>0</v>
      </c>
      <c r="G34" s="310">
        <v>0</v>
      </c>
      <c r="H34" s="310">
        <v>0</v>
      </c>
      <c r="I34" s="310">
        <v>0</v>
      </c>
      <c r="J34" s="310">
        <v>0</v>
      </c>
      <c r="K34" s="310">
        <v>0</v>
      </c>
      <c r="L34" s="310">
        <v>0</v>
      </c>
      <c r="M34" s="311">
        <v>0</v>
      </c>
      <c r="N34" s="355"/>
    </row>
    <row r="35" spans="1:14">
      <c r="A35" s="264" t="s">
        <v>318</v>
      </c>
      <c r="B35" s="36"/>
      <c r="C35" s="44">
        <v>257</v>
      </c>
      <c r="D35" s="264"/>
      <c r="E35" s="263">
        <v>0</v>
      </c>
      <c r="F35" s="309">
        <f t="shared" si="4"/>
        <v>0</v>
      </c>
      <c r="G35" s="310">
        <v>0</v>
      </c>
      <c r="H35" s="310">
        <v>0</v>
      </c>
      <c r="I35" s="310">
        <v>0</v>
      </c>
      <c r="J35" s="310">
        <v>0</v>
      </c>
      <c r="K35" s="310">
        <v>0</v>
      </c>
      <c r="L35" s="310">
        <v>0</v>
      </c>
      <c r="M35" s="311">
        <v>0</v>
      </c>
      <c r="N35" s="355"/>
    </row>
    <row r="36" spans="1:14" s="381" customFormat="1">
      <c r="A36" s="555" t="s">
        <v>319</v>
      </c>
      <c r="B36" s="57"/>
      <c r="C36" s="628" t="s">
        <v>320</v>
      </c>
      <c r="D36" s="555"/>
      <c r="E36" s="263">
        <v>0</v>
      </c>
      <c r="F36" s="309">
        <f t="shared" si="4"/>
        <v>10</v>
      </c>
      <c r="G36" s="310">
        <v>0</v>
      </c>
      <c r="H36" s="310">
        <v>0</v>
      </c>
      <c r="I36" s="310">
        <v>0</v>
      </c>
      <c r="J36" s="310">
        <v>10</v>
      </c>
      <c r="K36" s="310">
        <v>0</v>
      </c>
      <c r="L36" s="310">
        <v>0</v>
      </c>
      <c r="M36" s="311">
        <v>0</v>
      </c>
      <c r="N36" s="325" t="s">
        <v>414</v>
      </c>
    </row>
    <row r="37" spans="1:14" s="381" customFormat="1">
      <c r="A37" s="632" t="s">
        <v>321</v>
      </c>
      <c r="B37" s="57"/>
      <c r="C37" s="664" t="s">
        <v>322</v>
      </c>
      <c r="D37" s="632"/>
      <c r="E37" s="263">
        <v>0</v>
      </c>
      <c r="F37" s="309">
        <f t="shared" si="4"/>
        <v>0</v>
      </c>
      <c r="G37" s="310">
        <v>0</v>
      </c>
      <c r="H37" s="310">
        <v>0</v>
      </c>
      <c r="I37" s="310">
        <v>0</v>
      </c>
      <c r="J37" s="310">
        <v>0</v>
      </c>
      <c r="K37" s="310">
        <v>0</v>
      </c>
      <c r="L37" s="310">
        <v>0</v>
      </c>
      <c r="M37" s="311">
        <v>0</v>
      </c>
      <c r="N37" s="355"/>
    </row>
    <row r="38" spans="1:14" s="381" customFormat="1">
      <c r="A38" s="632" t="s">
        <v>323</v>
      </c>
      <c r="B38" s="57"/>
      <c r="C38" s="664" t="s">
        <v>324</v>
      </c>
      <c r="D38" s="632"/>
      <c r="E38" s="263">
        <v>0</v>
      </c>
      <c r="F38" s="309">
        <f t="shared" si="4"/>
        <v>0</v>
      </c>
      <c r="G38" s="310">
        <v>0</v>
      </c>
      <c r="H38" s="310">
        <v>0</v>
      </c>
      <c r="I38" s="310">
        <v>0</v>
      </c>
      <c r="J38" s="310">
        <f>-18+18</f>
        <v>0</v>
      </c>
      <c r="K38" s="310">
        <v>0</v>
      </c>
      <c r="L38" s="310">
        <v>0</v>
      </c>
      <c r="M38" s="311">
        <v>0</v>
      </c>
      <c r="N38" s="355"/>
    </row>
    <row r="39" spans="1:14">
      <c r="A39" s="40" t="s">
        <v>326</v>
      </c>
      <c r="B39" s="265"/>
      <c r="C39" s="266"/>
      <c r="D39" s="267"/>
      <c r="E39" s="43">
        <f t="shared" ref="E39:M39" si="5">SUM(E24:E38)</f>
        <v>16</v>
      </c>
      <c r="F39" s="43">
        <f t="shared" si="5"/>
        <v>130</v>
      </c>
      <c r="G39" s="43">
        <f t="shared" si="5"/>
        <v>0</v>
      </c>
      <c r="H39" s="43">
        <f t="shared" si="5"/>
        <v>0</v>
      </c>
      <c r="I39" s="43">
        <f t="shared" si="5"/>
        <v>0</v>
      </c>
      <c r="J39" s="43">
        <f t="shared" si="5"/>
        <v>130</v>
      </c>
      <c r="K39" s="43">
        <f t="shared" si="5"/>
        <v>0</v>
      </c>
      <c r="L39" s="43">
        <f t="shared" si="5"/>
        <v>0</v>
      </c>
      <c r="M39" s="43">
        <f t="shared" si="5"/>
        <v>0</v>
      </c>
      <c r="N39" s="355"/>
    </row>
    <row r="40" spans="1:14" s="151" customFormat="1">
      <c r="A40" s="40" t="s">
        <v>327</v>
      </c>
      <c r="B40" s="51"/>
      <c r="C40" s="149"/>
      <c r="D40" s="267"/>
      <c r="E40" s="241">
        <v>0</v>
      </c>
      <c r="F40" s="240">
        <f>SUM(G40:L40)</f>
        <v>0</v>
      </c>
      <c r="G40" s="240"/>
      <c r="H40" s="240">
        <v>0</v>
      </c>
      <c r="I40" s="240">
        <v>0</v>
      </c>
      <c r="J40" s="240">
        <v>0</v>
      </c>
      <c r="K40" s="240"/>
      <c r="L40" s="240"/>
      <c r="M40" s="240"/>
      <c r="N40" s="355"/>
    </row>
    <row r="41" spans="1:14">
      <c r="A41" s="40" t="s">
        <v>328</v>
      </c>
      <c r="B41" s="46"/>
      <c r="C41" s="47"/>
      <c r="D41" s="48">
        <f>D39+D22+D16</f>
        <v>2</v>
      </c>
      <c r="E41" s="42">
        <f t="shared" ref="E41:M41" si="6">E39+E22+E16-E40</f>
        <v>371</v>
      </c>
      <c r="F41" s="17">
        <f t="shared" si="6"/>
        <v>470</v>
      </c>
      <c r="G41" s="17">
        <f t="shared" si="6"/>
        <v>0</v>
      </c>
      <c r="H41" s="17">
        <f t="shared" si="6"/>
        <v>0</v>
      </c>
      <c r="I41" s="17">
        <f t="shared" si="6"/>
        <v>0</v>
      </c>
      <c r="J41" s="17">
        <f t="shared" si="6"/>
        <v>470</v>
      </c>
      <c r="K41" s="17">
        <f t="shared" si="6"/>
        <v>0</v>
      </c>
      <c r="L41" s="17">
        <f t="shared" si="6"/>
        <v>0</v>
      </c>
      <c r="M41" s="17">
        <f t="shared" si="6"/>
        <v>0</v>
      </c>
      <c r="N41" s="353"/>
    </row>
    <row r="43" spans="1:14" s="381" customFormat="1" ht="44.55" customHeight="1">
      <c r="C43" s="687"/>
      <c r="H43" s="771" t="s">
        <v>415</v>
      </c>
      <c r="I43" s="771"/>
      <c r="J43" s="565" t="s">
        <v>1351</v>
      </c>
      <c r="K43" s="565" t="s">
        <v>1352</v>
      </c>
    </row>
    <row r="44" spans="1:14" s="381" customFormat="1">
      <c r="C44" s="687"/>
      <c r="I44" s="381">
        <v>2021</v>
      </c>
      <c r="J44" s="381">
        <v>2022</v>
      </c>
      <c r="K44" s="381">
        <v>2022</v>
      </c>
    </row>
    <row r="45" spans="1:14">
      <c r="A45" s="381"/>
      <c r="B45" s="381"/>
      <c r="C45" s="687"/>
      <c r="D45" s="381"/>
      <c r="E45" s="381"/>
      <c r="F45" s="381"/>
      <c r="G45" s="381"/>
      <c r="H45" s="381"/>
      <c r="I45" s="381">
        <f>371-I46</f>
        <v>198</v>
      </c>
      <c r="J45" s="381">
        <f>377-J46</f>
        <v>204</v>
      </c>
      <c r="K45" s="381">
        <f>470-K46</f>
        <v>247</v>
      </c>
      <c r="L45" s="381" t="s">
        <v>32</v>
      </c>
      <c r="M45" s="381" t="s">
        <v>416</v>
      </c>
      <c r="N45" s="381"/>
    </row>
    <row r="46" spans="1:14">
      <c r="A46" s="381"/>
      <c r="B46" s="381"/>
      <c r="C46" s="687"/>
      <c r="D46" s="381"/>
      <c r="E46" s="381"/>
      <c r="F46" s="381"/>
      <c r="G46" s="381"/>
      <c r="H46" s="381"/>
      <c r="I46" s="381">
        <v>173</v>
      </c>
      <c r="J46" s="381">
        <f>((377-25)/2)-3</f>
        <v>173</v>
      </c>
      <c r="K46" s="381">
        <f>((470-25)/2)+0.5</f>
        <v>223</v>
      </c>
      <c r="L46" s="381" t="s">
        <v>33</v>
      </c>
      <c r="M46" s="381"/>
      <c r="N46" s="381"/>
    </row>
    <row r="48" spans="1:14">
      <c r="A48" s="381"/>
      <c r="B48" s="381"/>
      <c r="C48" s="687"/>
      <c r="D48" s="381"/>
      <c r="E48" s="381"/>
      <c r="F48" s="381"/>
      <c r="G48" s="381"/>
      <c r="H48" s="381"/>
      <c r="I48" s="381">
        <f>SUM(I45:I47)</f>
        <v>371</v>
      </c>
      <c r="J48" s="381">
        <f>SUM(J45:J47)</f>
        <v>377</v>
      </c>
      <c r="K48" s="381"/>
      <c r="L48" s="381"/>
      <c r="M48" s="381"/>
      <c r="N48" s="381"/>
    </row>
    <row r="50" spans="1:14" s="381" customFormat="1" ht="15.6" thickBot="1">
      <c r="A50" s="31"/>
      <c r="B50" s="31"/>
      <c r="C50" s="32"/>
      <c r="D50" s="31"/>
      <c r="E50" s="31"/>
      <c r="F50" s="31"/>
      <c r="G50" s="31"/>
      <c r="H50" s="31"/>
      <c r="I50" s="31"/>
      <c r="J50" s="31"/>
      <c r="K50" s="31"/>
      <c r="L50" s="31"/>
      <c r="M50" s="31"/>
      <c r="N50" s="562"/>
    </row>
    <row r="51" spans="1:14" s="381" customFormat="1" ht="15.6">
      <c r="A51" s="764" t="s">
        <v>330</v>
      </c>
      <c r="B51" s="765"/>
      <c r="C51" s="765"/>
      <c r="D51" s="765"/>
      <c r="E51" s="765"/>
      <c r="F51" s="765"/>
      <c r="G51" s="581"/>
      <c r="H51" s="31"/>
      <c r="I51" s="31"/>
      <c r="J51" s="31"/>
      <c r="K51" s="31"/>
      <c r="L51" s="31"/>
      <c r="M51" s="31"/>
      <c r="N51" s="562"/>
    </row>
    <row r="52" spans="1:14" s="381" customFormat="1" ht="15.6">
      <c r="A52" s="738"/>
      <c r="B52" s="739"/>
      <c r="C52" s="739"/>
      <c r="D52" s="739"/>
      <c r="E52" s="739"/>
      <c r="F52" s="739"/>
      <c r="G52" s="582"/>
      <c r="H52" s="31"/>
      <c r="I52" s="31"/>
      <c r="J52" s="31"/>
      <c r="K52" s="31"/>
      <c r="L52" s="31"/>
      <c r="M52" s="31"/>
      <c r="N52" s="562"/>
    </row>
    <row r="53" spans="1:14" s="381" customFormat="1">
      <c r="A53" s="740" t="s">
        <v>331</v>
      </c>
      <c r="B53" s="741"/>
      <c r="C53" s="583"/>
      <c r="D53" s="583"/>
      <c r="E53" s="583"/>
      <c r="F53" s="583"/>
      <c r="G53" s="582"/>
      <c r="H53" s="31"/>
      <c r="I53" s="31"/>
      <c r="J53" s="31"/>
      <c r="K53" s="31"/>
      <c r="L53" s="31"/>
      <c r="M53" s="31"/>
      <c r="N53" s="562"/>
    </row>
    <row r="54" spans="1:14" s="381" customFormat="1">
      <c r="A54" s="584" t="s">
        <v>361</v>
      </c>
      <c r="B54" s="585">
        <f>E41</f>
        <v>371</v>
      </c>
      <c r="C54" s="586"/>
      <c r="D54" s="587"/>
      <c r="E54" s="587"/>
      <c r="F54" s="587"/>
      <c r="G54" s="582"/>
      <c r="H54" s="31"/>
      <c r="I54" s="31"/>
      <c r="J54" s="31"/>
      <c r="K54" s="31"/>
      <c r="L54" s="31"/>
      <c r="M54" s="31"/>
      <c r="N54" s="562"/>
    </row>
    <row r="55" spans="1:14" s="381" customFormat="1">
      <c r="A55" s="588" t="s">
        <v>362</v>
      </c>
      <c r="B55" s="589">
        <f>F41</f>
        <v>470</v>
      </c>
      <c r="C55" s="586"/>
      <c r="D55" s="587"/>
      <c r="E55" s="587"/>
      <c r="F55" s="587"/>
      <c r="G55" s="582"/>
      <c r="H55" s="31"/>
      <c r="I55" s="31"/>
      <c r="J55" s="31"/>
      <c r="K55" s="31"/>
      <c r="L55" s="31"/>
      <c r="M55" s="31"/>
      <c r="N55" s="562"/>
    </row>
    <row r="56" spans="1:14" s="381" customFormat="1">
      <c r="A56" s="590" t="s">
        <v>334</v>
      </c>
      <c r="B56" s="591">
        <f>B55-B54</f>
        <v>99</v>
      </c>
      <c r="C56" s="586"/>
      <c r="D56" s="587"/>
      <c r="E56" s="587"/>
      <c r="F56" s="587"/>
      <c r="G56" s="582"/>
      <c r="H56" s="31"/>
      <c r="I56" s="31"/>
      <c r="J56" s="31"/>
      <c r="K56" s="31"/>
      <c r="L56" s="31"/>
      <c r="M56" s="31"/>
      <c r="N56" s="562"/>
    </row>
    <row r="57" spans="1:14" s="381" customFormat="1">
      <c r="A57" s="590" t="s">
        <v>335</v>
      </c>
      <c r="B57" s="592">
        <f>B56/B54</f>
        <v>0.26684636118598382</v>
      </c>
      <c r="C57" s="586"/>
      <c r="D57" s="587"/>
      <c r="E57" s="587"/>
      <c r="F57" s="587"/>
      <c r="G57" s="582"/>
      <c r="H57" s="31"/>
      <c r="I57" s="31"/>
      <c r="J57" s="31"/>
      <c r="K57" s="31"/>
      <c r="L57" s="31"/>
      <c r="M57" s="31"/>
      <c r="N57" s="562"/>
    </row>
    <row r="58" spans="1:14" s="381" customFormat="1">
      <c r="A58" s="593"/>
      <c r="B58" s="587"/>
      <c r="C58" s="697"/>
      <c r="D58" s="587"/>
      <c r="E58" s="587"/>
      <c r="F58" s="587"/>
      <c r="G58" s="582"/>
      <c r="H58" s="31"/>
      <c r="I58" s="31"/>
      <c r="J58" s="31"/>
      <c r="K58" s="31"/>
      <c r="L58" s="31"/>
      <c r="M58" s="31"/>
      <c r="N58" s="562"/>
    </row>
    <row r="59" spans="1:14" s="381" customFormat="1">
      <c r="A59" s="731" t="s">
        <v>336</v>
      </c>
      <c r="B59" s="732"/>
      <c r="C59" s="732"/>
      <c r="D59" s="732"/>
      <c r="E59" s="732"/>
      <c r="F59" s="732"/>
      <c r="G59" s="582"/>
      <c r="H59" s="31"/>
      <c r="I59" s="31"/>
      <c r="J59" s="31"/>
      <c r="K59" s="31"/>
      <c r="L59" s="31"/>
      <c r="M59" s="31"/>
      <c r="N59" s="562"/>
    </row>
    <row r="60" spans="1:14" s="381" customFormat="1" ht="28.2" customHeight="1">
      <c r="A60" s="742" t="s">
        <v>417</v>
      </c>
      <c r="B60" s="743"/>
      <c r="C60" s="743"/>
      <c r="D60" s="743"/>
      <c r="E60" s="743"/>
      <c r="F60" s="744"/>
      <c r="G60" s="582"/>
      <c r="H60" s="31"/>
      <c r="I60" s="31"/>
      <c r="J60" s="31"/>
      <c r="K60" s="31"/>
      <c r="L60" s="31"/>
      <c r="M60" s="31"/>
      <c r="N60" s="562"/>
    </row>
    <row r="61" spans="1:14" s="381" customFormat="1">
      <c r="A61" s="594"/>
      <c r="B61" s="595"/>
      <c r="C61" s="595"/>
      <c r="D61" s="595"/>
      <c r="E61" s="595"/>
      <c r="F61" s="595"/>
      <c r="G61" s="582"/>
      <c r="H61" s="31"/>
      <c r="I61" s="31"/>
      <c r="J61" s="31"/>
      <c r="K61" s="31"/>
      <c r="L61" s="31"/>
      <c r="M61" s="31"/>
      <c r="N61" s="562"/>
    </row>
    <row r="62" spans="1:14" s="381" customFormat="1">
      <c r="A62" s="596" t="s">
        <v>337</v>
      </c>
      <c r="B62" s="587"/>
      <c r="C62" s="697"/>
      <c r="D62" s="587"/>
      <c r="E62" s="587"/>
      <c r="F62" s="587"/>
      <c r="G62" s="582"/>
      <c r="H62" s="31"/>
      <c r="I62" s="31"/>
      <c r="J62" s="31"/>
      <c r="K62" s="31"/>
      <c r="L62" s="31"/>
      <c r="M62" s="31"/>
      <c r="N62" s="562"/>
    </row>
    <row r="63" spans="1:14" s="381" customFormat="1" ht="44" customHeight="1">
      <c r="A63" s="742" t="s">
        <v>418</v>
      </c>
      <c r="B63" s="743"/>
      <c r="C63" s="743"/>
      <c r="D63" s="743"/>
      <c r="E63" s="743"/>
      <c r="F63" s="744"/>
      <c r="G63" s="582"/>
      <c r="H63" s="31"/>
      <c r="I63" s="31"/>
      <c r="J63" s="31"/>
      <c r="K63" s="31"/>
      <c r="L63" s="31"/>
      <c r="M63" s="31"/>
      <c r="N63" s="562"/>
    </row>
    <row r="64" spans="1:14" s="381" customFormat="1">
      <c r="A64" s="593"/>
      <c r="B64" s="587"/>
      <c r="C64" s="697"/>
      <c r="D64" s="587"/>
      <c r="E64" s="587"/>
      <c r="F64" s="587"/>
      <c r="G64" s="582"/>
      <c r="H64" s="31"/>
      <c r="I64" s="31"/>
      <c r="J64" s="31"/>
      <c r="K64" s="31"/>
      <c r="L64" s="31"/>
      <c r="M64" s="31"/>
      <c r="N64" s="562"/>
    </row>
    <row r="65" spans="1:14" s="381" customFormat="1">
      <c r="A65" s="731" t="s">
        <v>365</v>
      </c>
      <c r="B65" s="732"/>
      <c r="C65" s="732"/>
      <c r="D65" s="732"/>
      <c r="E65" s="732"/>
      <c r="F65" s="732"/>
      <c r="G65" s="582"/>
      <c r="H65" s="31"/>
      <c r="I65" s="31"/>
      <c r="J65" s="31"/>
      <c r="K65" s="31"/>
      <c r="L65" s="31"/>
      <c r="M65" s="31"/>
      <c r="N65" s="562"/>
    </row>
    <row r="66" spans="1:14" s="381" customFormat="1">
      <c r="A66" s="733" t="s">
        <v>339</v>
      </c>
      <c r="B66" s="734"/>
      <c r="C66" s="734"/>
      <c r="D66" s="734"/>
      <c r="E66" s="734"/>
      <c r="F66" s="734"/>
      <c r="G66" s="582"/>
      <c r="H66" s="31"/>
      <c r="I66" s="31"/>
      <c r="J66" s="31"/>
      <c r="K66" s="31"/>
      <c r="L66" s="31"/>
      <c r="M66" s="31"/>
      <c r="N66" s="562"/>
    </row>
    <row r="67" spans="1:14" s="381" customFormat="1" ht="44" customHeight="1">
      <c r="A67" s="742" t="s">
        <v>419</v>
      </c>
      <c r="B67" s="743"/>
      <c r="C67" s="743"/>
      <c r="D67" s="743"/>
      <c r="E67" s="743"/>
      <c r="F67" s="744"/>
      <c r="G67" s="582"/>
      <c r="H67" s="31"/>
      <c r="I67" s="31"/>
      <c r="J67" s="31"/>
      <c r="K67" s="31"/>
      <c r="L67" s="31"/>
      <c r="M67" s="31"/>
      <c r="N67" s="562"/>
    </row>
    <row r="68" spans="1:14" s="381" customFormat="1">
      <c r="A68" s="596"/>
      <c r="B68" s="587"/>
      <c r="C68" s="697"/>
      <c r="D68" s="587"/>
      <c r="E68" s="587"/>
      <c r="F68" s="587"/>
      <c r="G68" s="582"/>
      <c r="H68" s="31"/>
      <c r="I68" s="31"/>
      <c r="J68" s="31"/>
      <c r="K68" s="31"/>
      <c r="L68" s="31"/>
      <c r="M68" s="31"/>
      <c r="N68" s="562"/>
    </row>
    <row r="69" spans="1:14" s="381" customFormat="1">
      <c r="A69" s="731" t="s">
        <v>340</v>
      </c>
      <c r="B69" s="732"/>
      <c r="C69" s="732"/>
      <c r="D69" s="732"/>
      <c r="E69" s="732"/>
      <c r="F69" s="587"/>
      <c r="G69" s="582"/>
      <c r="H69" s="31"/>
      <c r="I69" s="31"/>
      <c r="J69" s="31"/>
      <c r="K69" s="31"/>
      <c r="L69" s="31"/>
      <c r="M69" s="31"/>
      <c r="N69" s="562"/>
    </row>
    <row r="70" spans="1:14" s="381" customFormat="1" ht="30.25" customHeight="1">
      <c r="A70" s="766" t="s">
        <v>420</v>
      </c>
      <c r="B70" s="767"/>
      <c r="C70" s="767"/>
      <c r="D70" s="767"/>
      <c r="E70" s="767"/>
      <c r="F70" s="768"/>
      <c r="G70" s="582"/>
      <c r="H70" s="31"/>
      <c r="I70" s="31"/>
      <c r="J70" s="31"/>
      <c r="K70" s="31"/>
      <c r="L70" s="31"/>
      <c r="M70" s="31"/>
      <c r="N70" s="562"/>
    </row>
    <row r="71" spans="1:14" s="381" customFormat="1">
      <c r="A71" s="593"/>
      <c r="B71" s="587"/>
      <c r="C71" s="697"/>
      <c r="D71" s="587"/>
      <c r="E71" s="587"/>
      <c r="F71" s="587"/>
      <c r="G71" s="582"/>
      <c r="H71" s="31"/>
      <c r="I71" s="31"/>
      <c r="J71" s="31"/>
      <c r="K71" s="31"/>
      <c r="L71" s="31"/>
      <c r="M71" s="31"/>
      <c r="N71" s="562"/>
    </row>
    <row r="72" spans="1:14" s="381" customFormat="1">
      <c r="A72" s="596" t="s">
        <v>341</v>
      </c>
      <c r="B72" s="587"/>
      <c r="C72" s="697"/>
      <c r="D72" s="587"/>
      <c r="E72" s="587"/>
      <c r="F72" s="587"/>
      <c r="G72" s="582"/>
      <c r="H72" s="31"/>
      <c r="I72" s="31"/>
      <c r="J72" s="31"/>
      <c r="K72" s="31"/>
      <c r="L72" s="31"/>
      <c r="M72" s="31"/>
      <c r="N72" s="562"/>
    </row>
    <row r="73" spans="1:14" s="381" customFormat="1">
      <c r="A73" s="597" t="s">
        <v>342</v>
      </c>
      <c r="B73" s="587"/>
      <c r="C73" s="697"/>
      <c r="D73" s="587"/>
      <c r="E73" s="587"/>
      <c r="F73" s="587"/>
      <c r="G73" s="582"/>
      <c r="H73" s="31"/>
      <c r="I73" s="31"/>
      <c r="J73" s="31"/>
      <c r="K73" s="31"/>
      <c r="L73" s="31"/>
      <c r="M73" s="31"/>
      <c r="N73" s="562"/>
    </row>
    <row r="74" spans="1:14" s="381" customFormat="1" ht="26.2" customHeight="1">
      <c r="A74" s="719" t="s">
        <v>368</v>
      </c>
      <c r="B74" s="720"/>
      <c r="C74" s="720"/>
      <c r="D74" s="720"/>
      <c r="E74" s="720"/>
      <c r="F74" s="720"/>
      <c r="G74" s="582"/>
      <c r="H74" s="31"/>
      <c r="I74" s="31"/>
      <c r="J74" s="31"/>
      <c r="K74" s="31"/>
      <c r="L74" s="31"/>
      <c r="M74" s="31"/>
      <c r="N74" s="562"/>
    </row>
    <row r="75" spans="1:14" s="381" customFormat="1" ht="37.85" customHeight="1">
      <c r="A75" s="742" t="s">
        <v>421</v>
      </c>
      <c r="B75" s="743"/>
      <c r="C75" s="743"/>
      <c r="D75" s="743"/>
      <c r="E75" s="743"/>
      <c r="F75" s="744"/>
      <c r="G75" s="582"/>
      <c r="H75" s="31"/>
      <c r="I75" s="31"/>
      <c r="J75" s="31"/>
      <c r="K75" s="31"/>
      <c r="L75" s="31"/>
      <c r="M75" s="31"/>
      <c r="N75" s="562"/>
    </row>
    <row r="76" spans="1:14" s="381" customFormat="1">
      <c r="A76" s="724"/>
      <c r="B76" s="725"/>
      <c r="C76" s="725"/>
      <c r="D76" s="725"/>
      <c r="E76" s="725"/>
      <c r="F76" s="725"/>
      <c r="G76" s="582"/>
      <c r="H76" s="31"/>
      <c r="I76" s="31"/>
      <c r="J76" s="31"/>
      <c r="K76" s="31"/>
      <c r="L76" s="31"/>
      <c r="M76" s="31"/>
      <c r="N76" s="562"/>
    </row>
    <row r="77" spans="1:14" s="381" customFormat="1">
      <c r="A77" s="597" t="s">
        <v>344</v>
      </c>
      <c r="B77" s="587"/>
      <c r="C77" s="697"/>
      <c r="D77" s="587"/>
      <c r="E77" s="587"/>
      <c r="F77" s="587"/>
      <c r="G77" s="582"/>
      <c r="H77" s="31"/>
      <c r="I77" s="31"/>
      <c r="J77" s="31"/>
      <c r="K77" s="31"/>
      <c r="L77" s="31"/>
      <c r="M77" s="31"/>
      <c r="N77" s="562"/>
    </row>
    <row r="78" spans="1:14" s="381" customFormat="1" ht="42.35" customHeight="1">
      <c r="A78" s="726" t="s">
        <v>345</v>
      </c>
      <c r="B78" s="727"/>
      <c r="C78" s="727"/>
      <c r="D78" s="727"/>
      <c r="E78" s="727"/>
      <c r="F78" s="727"/>
      <c r="G78" s="582"/>
      <c r="H78" s="31"/>
      <c r="I78" s="31"/>
      <c r="J78" s="31"/>
      <c r="K78" s="31"/>
      <c r="L78" s="31"/>
      <c r="M78" s="31"/>
      <c r="N78" s="562"/>
    </row>
    <row r="79" spans="1:14" s="381" customFormat="1">
      <c r="A79" s="728"/>
      <c r="B79" s="729"/>
      <c r="C79" s="729"/>
      <c r="D79" s="729"/>
      <c r="E79" s="729"/>
      <c r="F79" s="730"/>
      <c r="G79" s="582"/>
      <c r="H79" s="31"/>
      <c r="I79" s="31"/>
      <c r="J79" s="31"/>
      <c r="K79" s="31"/>
      <c r="L79" s="31"/>
      <c r="M79" s="31"/>
      <c r="N79" s="562"/>
    </row>
    <row r="80" spans="1:14" s="381" customFormat="1" ht="15.6" thickBot="1">
      <c r="A80" s="598"/>
      <c r="B80" s="599"/>
      <c r="C80" s="600"/>
      <c r="D80" s="599"/>
      <c r="E80" s="599"/>
      <c r="F80" s="599"/>
      <c r="G80" s="601"/>
      <c r="H80" s="31"/>
      <c r="I80" s="31"/>
      <c r="J80" s="31"/>
      <c r="K80" s="31"/>
      <c r="L80" s="31"/>
      <c r="M80" s="31"/>
      <c r="N80" s="562"/>
    </row>
    <row r="81" spans="1:14" s="381" customFormat="1">
      <c r="A81" s="31"/>
      <c r="B81" s="31"/>
      <c r="C81" s="32"/>
      <c r="D81" s="31"/>
      <c r="E81" s="31"/>
      <c r="F81" s="31"/>
      <c r="G81" s="31"/>
      <c r="H81" s="31"/>
      <c r="I81" s="31"/>
      <c r="J81" s="31"/>
      <c r="K81" s="31"/>
      <c r="L81" s="31"/>
      <c r="M81" s="31"/>
      <c r="N81" s="562"/>
    </row>
    <row r="82" spans="1:14" s="381" customFormat="1">
      <c r="C82" s="698"/>
    </row>
    <row r="83" spans="1:14" s="381" customFormat="1">
      <c r="C83" s="698"/>
    </row>
    <row r="84" spans="1:14" s="381" customFormat="1">
      <c r="C84" s="698"/>
    </row>
    <row r="85" spans="1:14" s="381" customFormat="1">
      <c r="C85" s="698"/>
    </row>
    <row r="86" spans="1:14" s="381" customFormat="1">
      <c r="C86" s="698"/>
    </row>
    <row r="87" spans="1:14" s="381" customFormat="1">
      <c r="C87" s="698"/>
    </row>
    <row r="88" spans="1:14" s="381" customFormat="1">
      <c r="C88" s="698"/>
    </row>
    <row r="89" spans="1:14" s="381" customFormat="1">
      <c r="C89" s="698"/>
    </row>
    <row r="90" spans="1:14" s="381" customFormat="1">
      <c r="C90" s="698"/>
    </row>
    <row r="91" spans="1:14" s="381" customFormat="1">
      <c r="C91" s="698"/>
    </row>
    <row r="92" spans="1:14" s="381" customFormat="1">
      <c r="C92" s="698"/>
    </row>
    <row r="93" spans="1:14" s="381" customFormat="1">
      <c r="C93" s="698"/>
    </row>
    <row r="94" spans="1:14" s="381" customFormat="1">
      <c r="C94" s="698"/>
    </row>
    <row r="95" spans="1:14" s="381" customFormat="1">
      <c r="C95" s="698"/>
    </row>
    <row r="96" spans="1:14" s="381" customFormat="1">
      <c r="C96" s="698"/>
    </row>
    <row r="97" spans="3:3" s="381" customFormat="1">
      <c r="C97" s="698"/>
    </row>
    <row r="98" spans="3:3" s="381" customFormat="1">
      <c r="C98" s="698"/>
    </row>
    <row r="99" spans="3:3" s="381" customFormat="1">
      <c r="C99" s="698"/>
    </row>
    <row r="100" spans="3:3" s="381" customFormat="1">
      <c r="C100" s="698"/>
    </row>
    <row r="101" spans="3:3" s="381" customFormat="1">
      <c r="C101" s="698"/>
    </row>
    <row r="102" spans="3:3" s="381" customFormat="1">
      <c r="C102" s="698"/>
    </row>
    <row r="103" spans="3:3" s="381" customFormat="1">
      <c r="C103" s="698"/>
    </row>
    <row r="104" spans="3:3" s="381" customFormat="1">
      <c r="C104" s="698"/>
    </row>
    <row r="105" spans="3:3" s="381" customFormat="1">
      <c r="C105" s="698"/>
    </row>
    <row r="106" spans="3:3" s="381" customFormat="1">
      <c r="C106" s="698"/>
    </row>
    <row r="107" spans="3:3" s="381" customFormat="1">
      <c r="C107" s="698"/>
    </row>
    <row r="108" spans="3:3" s="381" customFormat="1">
      <c r="C108" s="698"/>
    </row>
    <row r="109" spans="3:3" s="381" customFormat="1">
      <c r="C109" s="698"/>
    </row>
    <row r="110" spans="3:3" s="381" customFormat="1">
      <c r="C110" s="698"/>
    </row>
    <row r="111" spans="3:3" s="381" customFormat="1">
      <c r="C111" s="698"/>
    </row>
    <row r="112" spans="3:3" s="381" customFormat="1">
      <c r="C112" s="698"/>
    </row>
    <row r="113" spans="3:3" s="381" customFormat="1">
      <c r="C113" s="698"/>
    </row>
    <row r="114" spans="3:3" s="381" customFormat="1">
      <c r="C114" s="698"/>
    </row>
    <row r="115" spans="3:3" s="381" customFormat="1">
      <c r="C115" s="698"/>
    </row>
    <row r="116" spans="3:3" s="381" customFormat="1">
      <c r="C116" s="698"/>
    </row>
    <row r="117" spans="3:3" s="381" customFormat="1">
      <c r="C117" s="698"/>
    </row>
    <row r="118" spans="3:3" s="381" customFormat="1">
      <c r="C118" s="698"/>
    </row>
    <row r="119" spans="3:3" s="381" customFormat="1">
      <c r="C119" s="698"/>
    </row>
    <row r="120" spans="3:3" s="381" customFormat="1">
      <c r="C120" s="698"/>
    </row>
    <row r="121" spans="3:3" s="381" customFormat="1">
      <c r="C121" s="698"/>
    </row>
    <row r="122" spans="3:3" s="381" customFormat="1">
      <c r="C122" s="698"/>
    </row>
    <row r="123" spans="3:3" s="381" customFormat="1">
      <c r="C123" s="698"/>
    </row>
    <row r="124" spans="3:3" s="381" customFormat="1">
      <c r="C124" s="698"/>
    </row>
    <row r="125" spans="3:3" s="381" customFormat="1">
      <c r="C125" s="698"/>
    </row>
    <row r="126" spans="3:3" s="381" customFormat="1">
      <c r="C126" s="698"/>
    </row>
    <row r="127" spans="3:3" s="381" customFormat="1">
      <c r="C127" s="698"/>
    </row>
    <row r="128" spans="3:3" s="381" customFormat="1">
      <c r="C128" s="698"/>
    </row>
    <row r="129" spans="3:3" s="381" customFormat="1">
      <c r="C129" s="698"/>
    </row>
    <row r="130" spans="3:3" s="381" customFormat="1">
      <c r="C130" s="698"/>
    </row>
    <row r="131" spans="3:3" s="381" customFormat="1">
      <c r="C131" s="698"/>
    </row>
    <row r="132" spans="3:3" s="381" customFormat="1">
      <c r="C132" s="698"/>
    </row>
    <row r="133" spans="3:3" s="381" customFormat="1">
      <c r="C133" s="698"/>
    </row>
    <row r="134" spans="3:3" s="381" customFormat="1">
      <c r="C134" s="698"/>
    </row>
    <row r="135" spans="3:3" s="381" customFormat="1">
      <c r="C135" s="698"/>
    </row>
    <row r="136" spans="3:3" s="381" customFormat="1">
      <c r="C136" s="698"/>
    </row>
    <row r="137" spans="3:3" s="381" customFormat="1">
      <c r="C137" s="698"/>
    </row>
    <row r="138" spans="3:3" s="381" customFormat="1">
      <c r="C138" s="698"/>
    </row>
    <row r="139" spans="3:3" s="381" customFormat="1">
      <c r="C139" s="698"/>
    </row>
    <row r="140" spans="3:3" s="381" customFormat="1">
      <c r="C140" s="698"/>
    </row>
    <row r="141" spans="3:3" s="381" customFormat="1">
      <c r="C141" s="698"/>
    </row>
    <row r="142" spans="3:3" s="381" customFormat="1">
      <c r="C142" s="698"/>
    </row>
    <row r="143" spans="3:3" s="381" customFormat="1">
      <c r="C143" s="698"/>
    </row>
    <row r="144" spans="3:3" s="381" customFormat="1">
      <c r="C144" s="698"/>
    </row>
    <row r="145" spans="3:3" s="381" customFormat="1">
      <c r="C145" s="698"/>
    </row>
    <row r="146" spans="3:3" s="381" customFormat="1">
      <c r="C146" s="698"/>
    </row>
    <row r="147" spans="3:3" s="381" customFormat="1">
      <c r="C147" s="698"/>
    </row>
    <row r="148" spans="3:3" s="381" customFormat="1">
      <c r="C148" s="698"/>
    </row>
    <row r="149" spans="3:3" s="381" customFormat="1">
      <c r="C149" s="698"/>
    </row>
    <row r="150" spans="3:3" s="381" customFormat="1">
      <c r="C150" s="698"/>
    </row>
    <row r="151" spans="3:3" s="381" customFormat="1">
      <c r="C151" s="698"/>
    </row>
    <row r="152" spans="3:3" s="381" customFormat="1">
      <c r="C152" s="698"/>
    </row>
    <row r="153" spans="3:3" s="381" customFormat="1">
      <c r="C153" s="698"/>
    </row>
    <row r="154" spans="3:3" s="381" customFormat="1">
      <c r="C154" s="698"/>
    </row>
    <row r="155" spans="3:3" s="381" customFormat="1">
      <c r="C155" s="698"/>
    </row>
    <row r="156" spans="3:3" s="381" customFormat="1">
      <c r="C156" s="698"/>
    </row>
    <row r="157" spans="3:3" s="381" customFormat="1">
      <c r="C157" s="698"/>
    </row>
    <row r="158" spans="3:3" s="381" customFormat="1">
      <c r="C158" s="698"/>
    </row>
    <row r="159" spans="3:3" s="381" customFormat="1">
      <c r="C159" s="698"/>
    </row>
    <row r="160" spans="3:3" s="381" customFormat="1">
      <c r="C160" s="698"/>
    </row>
    <row r="161" spans="3:3" s="381" customFormat="1">
      <c r="C161" s="698"/>
    </row>
    <row r="162" spans="3:3" s="381" customFormat="1">
      <c r="C162" s="698"/>
    </row>
    <row r="163" spans="3:3" s="381" customFormat="1">
      <c r="C163" s="698"/>
    </row>
    <row r="164" spans="3:3" s="381" customFormat="1">
      <c r="C164" s="698"/>
    </row>
    <row r="165" spans="3:3" s="381" customFormat="1">
      <c r="C165" s="698"/>
    </row>
    <row r="166" spans="3:3" s="381" customFormat="1">
      <c r="C166" s="698"/>
    </row>
    <row r="167" spans="3:3" s="381" customFormat="1">
      <c r="C167" s="698"/>
    </row>
    <row r="168" spans="3:3" s="381" customFormat="1">
      <c r="C168" s="698"/>
    </row>
    <row r="169" spans="3:3" s="381" customFormat="1">
      <c r="C169" s="698"/>
    </row>
    <row r="170" spans="3:3" s="381" customFormat="1">
      <c r="C170" s="698"/>
    </row>
    <row r="171" spans="3:3" s="381" customFormat="1">
      <c r="C171" s="698"/>
    </row>
    <row r="172" spans="3:3" s="381" customFormat="1">
      <c r="C172" s="698"/>
    </row>
    <row r="173" spans="3:3" s="381" customFormat="1">
      <c r="C173" s="698"/>
    </row>
    <row r="174" spans="3:3" s="381" customFormat="1">
      <c r="C174" s="698"/>
    </row>
    <row r="175" spans="3:3" s="381" customFormat="1">
      <c r="C175" s="698"/>
    </row>
    <row r="176" spans="3:3" s="381" customFormat="1">
      <c r="C176" s="698"/>
    </row>
    <row r="177" spans="3:3" s="381" customFormat="1">
      <c r="C177" s="698"/>
    </row>
    <row r="178" spans="3:3" s="381" customFormat="1">
      <c r="C178" s="698"/>
    </row>
  </sheetData>
  <mergeCells count="18">
    <mergeCell ref="A1:N1"/>
    <mergeCell ref="A51:F51"/>
    <mergeCell ref="A52:F52"/>
    <mergeCell ref="A53:B53"/>
    <mergeCell ref="A59:F59"/>
    <mergeCell ref="H43:I43"/>
    <mergeCell ref="A60:F60"/>
    <mergeCell ref="A63:F63"/>
    <mergeCell ref="A65:F65"/>
    <mergeCell ref="A66:F66"/>
    <mergeCell ref="A67:F67"/>
    <mergeCell ref="A78:F78"/>
    <mergeCell ref="A79:F79"/>
    <mergeCell ref="A69:E69"/>
    <mergeCell ref="A70:F70"/>
    <mergeCell ref="A74:F74"/>
    <mergeCell ref="A75:F75"/>
    <mergeCell ref="A76:F76"/>
  </mergeCells>
  <printOptions horizontalCentered="1"/>
  <pageMargins left="0.2" right="0.2" top="0.75" bottom="0.75" header="0.3" footer="0.3"/>
  <pageSetup scale="72" orientation="landscape" r:id="rId1"/>
  <headerFooter>
    <oddHeader xml:space="preserve">&amp;CDRAFT NOT FOR DISTRIBUTION, INTERNAL USE ONLY
</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N71"/>
  <sheetViews>
    <sheetView zoomScaleNormal="100" workbookViewId="0">
      <selection sqref="A1:N1"/>
    </sheetView>
  </sheetViews>
  <sheetFormatPr defaultColWidth="9.140625" defaultRowHeight="14.85"/>
  <cols>
    <col min="1" max="1" width="45.85546875" style="151" customWidth="1"/>
    <col min="2" max="2" width="12" style="151" customWidth="1"/>
    <col min="3" max="3" width="7.7109375" style="152" customWidth="1"/>
    <col min="4" max="4" width="10.85546875" style="151" customWidth="1"/>
    <col min="5" max="5" width="10.7109375" style="151" customWidth="1"/>
    <col min="6" max="6" width="11" style="151" customWidth="1"/>
    <col min="7" max="7" width="9.5703125" style="151" customWidth="1"/>
    <col min="8" max="8" width="8.42578125" style="151" customWidth="1"/>
    <col min="9" max="10" width="7.140625" style="151" customWidth="1"/>
    <col min="11" max="11" width="7.7109375" style="151" customWidth="1"/>
    <col min="12" max="12" width="9.7109375" style="151" customWidth="1"/>
    <col min="13" max="13" width="9.140625" style="151" customWidth="1"/>
    <col min="14" max="14" width="23.7109375" style="151" customWidth="1"/>
    <col min="15" max="16384" width="9.140625" style="151"/>
  </cols>
  <sheetData>
    <row r="1" spans="1:14" ht="15.6">
      <c r="A1" s="745" t="s">
        <v>227</v>
      </c>
      <c r="B1" s="745"/>
      <c r="C1" s="745"/>
      <c r="D1" s="745"/>
      <c r="E1" s="745"/>
      <c r="F1" s="745"/>
      <c r="G1" s="745"/>
      <c r="H1" s="745"/>
      <c r="I1" s="745"/>
      <c r="J1" s="745"/>
      <c r="K1" s="745"/>
      <c r="L1" s="745"/>
      <c r="M1" s="745"/>
      <c r="N1" s="745"/>
    </row>
    <row r="2" spans="1:14">
      <c r="A2" s="65" t="s">
        <v>422</v>
      </c>
      <c r="B2" s="381"/>
      <c r="C2" s="687"/>
      <c r="D2" s="381"/>
      <c r="E2" s="381"/>
      <c r="F2" s="381"/>
      <c r="G2" s="381"/>
      <c r="H2" s="381"/>
      <c r="I2" s="381"/>
      <c r="J2" s="381"/>
      <c r="K2" s="381"/>
      <c r="L2" s="381"/>
      <c r="M2" s="381"/>
      <c r="N2" s="381"/>
    </row>
    <row r="3" spans="1:14">
      <c r="A3" s="65" t="s">
        <v>423</v>
      </c>
      <c r="B3" s="381"/>
      <c r="C3" s="29"/>
      <c r="D3" s="29"/>
      <c r="E3" s="29"/>
      <c r="F3" s="554" t="s">
        <v>275</v>
      </c>
      <c r="G3" s="381"/>
      <c r="H3" s="381"/>
      <c r="I3" s="381"/>
      <c r="J3" s="381"/>
      <c r="K3" s="381"/>
      <c r="L3" s="381"/>
      <c r="M3" s="381"/>
      <c r="N3" s="381"/>
    </row>
    <row r="4" spans="1:14">
      <c r="A4" s="68" t="s">
        <v>404</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59.4">
      <c r="A7" s="36" t="s">
        <v>424</v>
      </c>
      <c r="B7" s="36"/>
      <c r="C7" s="37" t="s">
        <v>287</v>
      </c>
      <c r="D7" s="38">
        <v>0.13</v>
      </c>
      <c r="E7" s="263"/>
      <c r="F7" s="309">
        <f>SUM(G7:M7)</f>
        <v>11</v>
      </c>
      <c r="G7" s="310"/>
      <c r="H7" s="310">
        <v>11</v>
      </c>
      <c r="I7" s="310"/>
      <c r="J7" s="310"/>
      <c r="K7" s="310"/>
      <c r="L7" s="310"/>
      <c r="M7" s="311"/>
      <c r="N7" s="325" t="s">
        <v>425</v>
      </c>
    </row>
    <row r="8" spans="1:14" ht="15.05" customHeight="1">
      <c r="A8" s="36" t="s">
        <v>426</v>
      </c>
      <c r="B8" s="36"/>
      <c r="C8" s="37" t="s">
        <v>287</v>
      </c>
      <c r="D8" s="39"/>
      <c r="E8" s="263"/>
      <c r="F8" s="309">
        <f>SUM(G8:M8)</f>
        <v>0</v>
      </c>
      <c r="G8" s="310"/>
      <c r="H8" s="310"/>
      <c r="I8" s="310"/>
      <c r="J8" s="310"/>
      <c r="K8" s="310"/>
      <c r="L8" s="310"/>
      <c r="M8" s="311"/>
      <c r="N8" s="355"/>
    </row>
    <row r="9" spans="1:14" ht="15.05" customHeight="1">
      <c r="A9" s="36" t="s">
        <v>426</v>
      </c>
      <c r="B9" s="264"/>
      <c r="C9" s="37" t="s">
        <v>287</v>
      </c>
      <c r="D9" s="39"/>
      <c r="E9" s="263"/>
      <c r="F9" s="309">
        <f>SUM(G9:M9)</f>
        <v>0</v>
      </c>
      <c r="G9" s="310"/>
      <c r="H9" s="310"/>
      <c r="I9" s="310"/>
      <c r="J9" s="310"/>
      <c r="K9" s="310"/>
      <c r="L9" s="310"/>
      <c r="M9" s="311"/>
      <c r="N9" s="355"/>
    </row>
    <row r="10" spans="1:14">
      <c r="A10" s="40" t="s">
        <v>288</v>
      </c>
      <c r="B10" s="265"/>
      <c r="C10" s="266"/>
      <c r="D10" s="41">
        <f t="shared" ref="D10:N10" si="0">SUM(D7:D9)</f>
        <v>0.13</v>
      </c>
      <c r="E10" s="42">
        <f t="shared" si="0"/>
        <v>0</v>
      </c>
      <c r="F10" s="43">
        <f t="shared" si="0"/>
        <v>11</v>
      </c>
      <c r="G10" s="43">
        <f t="shared" si="0"/>
        <v>0</v>
      </c>
      <c r="H10" s="43">
        <f t="shared" si="0"/>
        <v>11</v>
      </c>
      <c r="I10" s="43">
        <f t="shared" si="0"/>
        <v>0</v>
      </c>
      <c r="J10" s="43">
        <f t="shared" si="0"/>
        <v>0</v>
      </c>
      <c r="K10" s="43">
        <f t="shared" si="0"/>
        <v>0</v>
      </c>
      <c r="L10" s="43">
        <f t="shared" si="0"/>
        <v>0</v>
      </c>
      <c r="M10" s="43">
        <f t="shared" si="0"/>
        <v>0</v>
      </c>
      <c r="N10" s="43">
        <f t="shared" si="0"/>
        <v>0</v>
      </c>
    </row>
    <row r="11" spans="1:14">
      <c r="A11" s="69" t="s">
        <v>289</v>
      </c>
      <c r="B11" s="70"/>
      <c r="C11" s="71"/>
      <c r="D11" s="70"/>
      <c r="E11" s="70"/>
      <c r="F11" s="72"/>
      <c r="G11" s="72"/>
      <c r="H11" s="72"/>
      <c r="I11" s="72"/>
      <c r="J11" s="72"/>
      <c r="K11" s="72"/>
      <c r="L11" s="72"/>
      <c r="M11" s="72"/>
      <c r="N11" s="72"/>
    </row>
    <row r="12" spans="1:14">
      <c r="A12" s="264" t="s">
        <v>384</v>
      </c>
      <c r="B12" s="264"/>
      <c r="C12" s="44">
        <v>253</v>
      </c>
      <c r="D12" s="45"/>
      <c r="E12" s="263"/>
      <c r="F12" s="357">
        <f>SUM(G12:M12)</f>
        <v>0</v>
      </c>
      <c r="G12" s="310"/>
      <c r="H12" s="310"/>
      <c r="I12" s="310"/>
      <c r="J12" s="310"/>
      <c r="K12" s="310">
        <v>0</v>
      </c>
      <c r="L12" s="310">
        <v>0</v>
      </c>
      <c r="M12" s="311">
        <v>0</v>
      </c>
      <c r="N12" s="327"/>
    </row>
    <row r="13" spans="1:14">
      <c r="A13" s="264" t="s">
        <v>379</v>
      </c>
      <c r="B13" s="264"/>
      <c r="C13" s="44">
        <v>253</v>
      </c>
      <c r="D13" s="45"/>
      <c r="E13" s="263"/>
      <c r="F13" s="357">
        <f>SUM(G13:M13)</f>
        <v>0</v>
      </c>
      <c r="G13" s="310"/>
      <c r="H13" s="310"/>
      <c r="I13" s="310"/>
      <c r="J13" s="310"/>
      <c r="K13" s="310">
        <v>0</v>
      </c>
      <c r="L13" s="310">
        <v>0</v>
      </c>
      <c r="M13" s="311">
        <v>0</v>
      </c>
      <c r="N13" s="326"/>
    </row>
    <row r="14" spans="1:14">
      <c r="A14" s="264" t="s">
        <v>379</v>
      </c>
      <c r="B14" s="264"/>
      <c r="C14" s="44">
        <v>253</v>
      </c>
      <c r="D14" s="267"/>
      <c r="E14" s="263"/>
      <c r="F14" s="357">
        <f>SUM(G14:M14)</f>
        <v>0</v>
      </c>
      <c r="G14" s="310"/>
      <c r="H14" s="310"/>
      <c r="I14" s="310"/>
      <c r="J14" s="310"/>
      <c r="K14" s="310">
        <v>0</v>
      </c>
      <c r="L14" s="310">
        <v>0</v>
      </c>
      <c r="M14" s="311">
        <v>0</v>
      </c>
      <c r="N14" s="355"/>
    </row>
    <row r="15" spans="1:14" s="7" customFormat="1">
      <c r="A15" s="264" t="s">
        <v>427</v>
      </c>
      <c r="B15" s="264"/>
      <c r="C15" s="44">
        <v>253</v>
      </c>
      <c r="D15" s="267"/>
      <c r="E15" s="263"/>
      <c r="F15" s="357">
        <f>SUM(G15:M15)</f>
        <v>0</v>
      </c>
      <c r="G15" s="310"/>
      <c r="H15" s="310"/>
      <c r="I15" s="310"/>
      <c r="J15" s="310"/>
      <c r="K15" s="310">
        <v>0</v>
      </c>
      <c r="L15" s="310">
        <v>0</v>
      </c>
      <c r="M15" s="311">
        <v>0</v>
      </c>
      <c r="N15" s="326"/>
    </row>
    <row r="16" spans="1:14">
      <c r="A16" s="40" t="s">
        <v>294</v>
      </c>
      <c r="B16" s="265"/>
      <c r="C16" s="266"/>
      <c r="D16" s="267">
        <f>SUM(D12:D15)</f>
        <v>0</v>
      </c>
      <c r="E16" s="42">
        <f>SUM(E12:E15)</f>
        <v>0</v>
      </c>
      <c r="F16" s="43">
        <f>SUM(F12:F15)</f>
        <v>0</v>
      </c>
      <c r="G16" s="43">
        <f t="shared" ref="G16:M16" si="1">SUM(G12:G15)</f>
        <v>0</v>
      </c>
      <c r="H16" s="43">
        <f t="shared" si="1"/>
        <v>0</v>
      </c>
      <c r="I16" s="43">
        <f t="shared" si="1"/>
        <v>0</v>
      </c>
      <c r="J16" s="43">
        <f t="shared" si="1"/>
        <v>0</v>
      </c>
      <c r="K16" s="43">
        <f t="shared" si="1"/>
        <v>0</v>
      </c>
      <c r="L16" s="43">
        <f t="shared" si="1"/>
        <v>0</v>
      </c>
      <c r="M16" s="43">
        <f t="shared" si="1"/>
        <v>0</v>
      </c>
      <c r="N16" s="355"/>
    </row>
    <row r="17" spans="1:14" s="7" customFormat="1">
      <c r="A17" s="69" t="s">
        <v>295</v>
      </c>
      <c r="B17" s="70"/>
      <c r="C17" s="71"/>
      <c r="D17" s="70"/>
      <c r="E17" s="70"/>
      <c r="F17" s="72"/>
      <c r="G17" s="72"/>
      <c r="H17" s="72"/>
      <c r="I17" s="72"/>
      <c r="J17" s="72"/>
      <c r="K17" s="72"/>
      <c r="L17" s="72"/>
      <c r="M17" s="72"/>
      <c r="N17" s="72"/>
    </row>
    <row r="18" spans="1:14" ht="15.05" customHeight="1">
      <c r="A18" s="264" t="s">
        <v>296</v>
      </c>
      <c r="B18" s="36"/>
      <c r="C18" s="37" t="s">
        <v>297</v>
      </c>
      <c r="D18" s="38">
        <v>0</v>
      </c>
      <c r="E18" s="263"/>
      <c r="F18" s="309">
        <f t="shared" ref="F18:F31" si="2">SUM(G18:M18)</f>
        <v>0</v>
      </c>
      <c r="G18" s="310"/>
      <c r="H18" s="310"/>
      <c r="I18" s="310"/>
      <c r="J18" s="310"/>
      <c r="K18" s="310">
        <v>0</v>
      </c>
      <c r="L18" s="310">
        <v>0</v>
      </c>
      <c r="M18" s="311">
        <v>0</v>
      </c>
      <c r="N18" s="325"/>
    </row>
    <row r="19" spans="1:14">
      <c r="A19" s="264" t="s">
        <v>298</v>
      </c>
      <c r="B19" s="36"/>
      <c r="C19" s="44" t="s">
        <v>299</v>
      </c>
      <c r="D19" s="45"/>
      <c r="E19" s="263"/>
      <c r="F19" s="309">
        <f t="shared" si="2"/>
        <v>0</v>
      </c>
      <c r="G19" s="310"/>
      <c r="H19" s="310"/>
      <c r="I19" s="310"/>
      <c r="J19" s="310">
        <v>0</v>
      </c>
      <c r="K19" s="310">
        <v>0</v>
      </c>
      <c r="L19" s="310">
        <v>0</v>
      </c>
      <c r="M19" s="311">
        <v>0</v>
      </c>
      <c r="N19" s="355"/>
    </row>
    <row r="20" spans="1:14">
      <c r="A20" s="264" t="s">
        <v>300</v>
      </c>
      <c r="B20" s="36"/>
      <c r="C20" s="44" t="s">
        <v>301</v>
      </c>
      <c r="D20" s="45"/>
      <c r="E20" s="263"/>
      <c r="F20" s="309">
        <f t="shared" si="2"/>
        <v>0</v>
      </c>
      <c r="G20" s="310"/>
      <c r="H20" s="310"/>
      <c r="I20" s="310"/>
      <c r="J20" s="310">
        <v>0</v>
      </c>
      <c r="K20" s="310">
        <v>0</v>
      </c>
      <c r="L20" s="310">
        <v>0</v>
      </c>
      <c r="M20" s="311">
        <v>0</v>
      </c>
      <c r="N20" s="355"/>
    </row>
    <row r="21" spans="1:14">
      <c r="A21" s="264" t="s">
        <v>302</v>
      </c>
      <c r="B21" s="36"/>
      <c r="C21" s="44" t="s">
        <v>303</v>
      </c>
      <c r="D21" s="45"/>
      <c r="E21" s="263"/>
      <c r="F21" s="309">
        <f t="shared" si="2"/>
        <v>0</v>
      </c>
      <c r="G21" s="310"/>
      <c r="H21" s="310"/>
      <c r="I21" s="310"/>
      <c r="J21" s="310">
        <v>0</v>
      </c>
      <c r="K21" s="310">
        <v>0</v>
      </c>
      <c r="L21" s="310">
        <v>0</v>
      </c>
      <c r="M21" s="311">
        <v>0</v>
      </c>
      <c r="N21" s="355"/>
    </row>
    <row r="22" spans="1:14">
      <c r="A22" s="264" t="s">
        <v>428</v>
      </c>
      <c r="B22" s="382"/>
      <c r="C22" s="44">
        <v>251</v>
      </c>
      <c r="D22" s="45"/>
      <c r="E22" s="263">
        <v>60</v>
      </c>
      <c r="F22" s="309">
        <f t="shared" si="2"/>
        <v>40</v>
      </c>
      <c r="G22" s="310">
        <v>0</v>
      </c>
      <c r="H22" s="310">
        <v>40</v>
      </c>
      <c r="I22" s="310">
        <v>0</v>
      </c>
      <c r="J22" s="310">
        <v>0</v>
      </c>
      <c r="K22" s="310">
        <v>0</v>
      </c>
      <c r="L22" s="310">
        <f>SUM(150-150)</f>
        <v>0</v>
      </c>
      <c r="M22" s="311">
        <v>0</v>
      </c>
      <c r="N22" s="327"/>
    </row>
    <row r="23" spans="1:14">
      <c r="A23" s="264" t="s">
        <v>429</v>
      </c>
      <c r="B23" s="36"/>
      <c r="C23" s="44">
        <v>252</v>
      </c>
      <c r="D23" s="45"/>
      <c r="E23" s="263"/>
      <c r="F23" s="309">
        <f t="shared" si="2"/>
        <v>0</v>
      </c>
      <c r="G23" s="310"/>
      <c r="H23" s="310"/>
      <c r="I23" s="310"/>
      <c r="J23" s="310">
        <v>0</v>
      </c>
      <c r="K23" s="310">
        <v>0</v>
      </c>
      <c r="L23" s="310">
        <v>0</v>
      </c>
      <c r="M23" s="311">
        <v>0</v>
      </c>
      <c r="N23" s="355"/>
    </row>
    <row r="24" spans="1:14">
      <c r="A24" s="264" t="s">
        <v>430</v>
      </c>
      <c r="B24" s="36"/>
      <c r="C24" s="44">
        <v>252</v>
      </c>
      <c r="D24" s="45"/>
      <c r="E24" s="263"/>
      <c r="F24" s="309">
        <f t="shared" si="2"/>
        <v>0</v>
      </c>
      <c r="G24" s="310"/>
      <c r="H24" s="310"/>
      <c r="I24" s="310"/>
      <c r="J24" s="310">
        <v>0</v>
      </c>
      <c r="K24" s="310">
        <v>0</v>
      </c>
      <c r="L24" s="310">
        <v>0</v>
      </c>
      <c r="M24" s="311">
        <v>0</v>
      </c>
      <c r="N24" s="355"/>
    </row>
    <row r="25" spans="1:14">
      <c r="A25" s="264" t="s">
        <v>315</v>
      </c>
      <c r="B25" s="36"/>
      <c r="C25" s="44">
        <v>253</v>
      </c>
      <c r="D25" s="264"/>
      <c r="E25" s="263"/>
      <c r="F25" s="309">
        <f t="shared" si="2"/>
        <v>0</v>
      </c>
      <c r="G25" s="310"/>
      <c r="H25" s="310"/>
      <c r="I25" s="310"/>
      <c r="J25" s="310">
        <v>0</v>
      </c>
      <c r="K25" s="310">
        <v>0</v>
      </c>
      <c r="L25" s="310">
        <v>0</v>
      </c>
      <c r="M25" s="311">
        <v>0</v>
      </c>
      <c r="N25" s="355"/>
    </row>
    <row r="26" spans="1:14">
      <c r="A26" s="264" t="s">
        <v>316</v>
      </c>
      <c r="B26" s="36"/>
      <c r="C26" s="44">
        <v>255</v>
      </c>
      <c r="D26" s="264"/>
      <c r="E26" s="263"/>
      <c r="F26" s="309">
        <f t="shared" si="2"/>
        <v>0</v>
      </c>
      <c r="G26" s="310"/>
      <c r="H26" s="310"/>
      <c r="I26" s="310"/>
      <c r="J26" s="310">
        <v>0</v>
      </c>
      <c r="K26" s="310">
        <v>0</v>
      </c>
      <c r="L26" s="310">
        <v>0</v>
      </c>
      <c r="M26" s="311">
        <v>0</v>
      </c>
      <c r="N26" s="355"/>
    </row>
    <row r="27" spans="1:14">
      <c r="A27" s="264" t="s">
        <v>317</v>
      </c>
      <c r="B27" s="36"/>
      <c r="C27" s="44">
        <v>256</v>
      </c>
      <c r="D27" s="264"/>
      <c r="E27" s="263"/>
      <c r="F27" s="309">
        <f t="shared" si="2"/>
        <v>0</v>
      </c>
      <c r="G27" s="310"/>
      <c r="H27" s="310"/>
      <c r="I27" s="310"/>
      <c r="J27" s="310">
        <v>0</v>
      </c>
      <c r="K27" s="310">
        <v>0</v>
      </c>
      <c r="L27" s="310">
        <v>0</v>
      </c>
      <c r="M27" s="311">
        <v>0</v>
      </c>
      <c r="N27" s="355"/>
    </row>
    <row r="28" spans="1:14">
      <c r="A28" s="264" t="s">
        <v>318</v>
      </c>
      <c r="B28" s="36"/>
      <c r="C28" s="44">
        <v>257</v>
      </c>
      <c r="D28" s="264"/>
      <c r="E28" s="263"/>
      <c r="F28" s="309">
        <f t="shared" si="2"/>
        <v>0</v>
      </c>
      <c r="G28" s="310"/>
      <c r="H28" s="310"/>
      <c r="I28" s="310"/>
      <c r="J28" s="310">
        <v>0</v>
      </c>
      <c r="K28" s="310">
        <v>0</v>
      </c>
      <c r="L28" s="310">
        <v>0</v>
      </c>
      <c r="M28" s="311">
        <v>0</v>
      </c>
      <c r="N28" s="355"/>
    </row>
    <row r="29" spans="1:14">
      <c r="A29" s="264" t="s">
        <v>319</v>
      </c>
      <c r="B29" s="36"/>
      <c r="C29" s="44" t="s">
        <v>320</v>
      </c>
      <c r="D29" s="264"/>
      <c r="E29" s="263"/>
      <c r="F29" s="309">
        <f t="shared" si="2"/>
        <v>0</v>
      </c>
      <c r="G29" s="310"/>
      <c r="H29" s="310"/>
      <c r="I29" s="310"/>
      <c r="J29" s="310">
        <v>0</v>
      </c>
      <c r="K29" s="310">
        <v>0</v>
      </c>
      <c r="L29" s="310">
        <v>0</v>
      </c>
      <c r="M29" s="311">
        <v>0</v>
      </c>
      <c r="N29" s="355"/>
    </row>
    <row r="30" spans="1:14" s="381" customFormat="1">
      <c r="A30" s="265" t="s">
        <v>321</v>
      </c>
      <c r="B30" s="36"/>
      <c r="C30" s="266" t="s">
        <v>322</v>
      </c>
      <c r="D30" s="265"/>
      <c r="E30" s="263"/>
      <c r="F30" s="309">
        <f t="shared" si="2"/>
        <v>0</v>
      </c>
      <c r="G30" s="310"/>
      <c r="H30" s="310"/>
      <c r="I30" s="310"/>
      <c r="J30" s="310">
        <v>0</v>
      </c>
      <c r="K30" s="310"/>
      <c r="L30" s="310"/>
      <c r="M30" s="311"/>
      <c r="N30" s="355"/>
    </row>
    <row r="31" spans="1:14" ht="44.55">
      <c r="A31" s="265" t="s">
        <v>323</v>
      </c>
      <c r="B31" s="36"/>
      <c r="C31" s="266" t="s">
        <v>324</v>
      </c>
      <c r="D31" s="265"/>
      <c r="E31" s="263">
        <v>-21</v>
      </c>
      <c r="F31" s="309">
        <f t="shared" si="2"/>
        <v>0</v>
      </c>
      <c r="G31" s="310">
        <v>0</v>
      </c>
      <c r="H31" s="310">
        <f>-12+12</f>
        <v>0</v>
      </c>
      <c r="I31" s="310">
        <v>0</v>
      </c>
      <c r="J31" s="310">
        <v>0</v>
      </c>
      <c r="K31" s="310">
        <v>0</v>
      </c>
      <c r="L31" s="310">
        <v>0</v>
      </c>
      <c r="M31" s="311">
        <v>0</v>
      </c>
      <c r="N31" s="325" t="s">
        <v>431</v>
      </c>
    </row>
    <row r="32" spans="1:14">
      <c r="A32" s="40" t="s">
        <v>326</v>
      </c>
      <c r="B32" s="265"/>
      <c r="C32" s="266"/>
      <c r="D32" s="267"/>
      <c r="E32" s="42">
        <f t="shared" ref="E32:M32" si="3">SUM(E18:E31)</f>
        <v>39</v>
      </c>
      <c r="F32" s="43">
        <f t="shared" si="3"/>
        <v>40</v>
      </c>
      <c r="G32" s="43">
        <f t="shared" si="3"/>
        <v>0</v>
      </c>
      <c r="H32" s="43">
        <f t="shared" si="3"/>
        <v>40</v>
      </c>
      <c r="I32" s="43">
        <f t="shared" si="3"/>
        <v>0</v>
      </c>
      <c r="J32" s="43">
        <f t="shared" si="3"/>
        <v>0</v>
      </c>
      <c r="K32" s="43">
        <f t="shared" si="3"/>
        <v>0</v>
      </c>
      <c r="L32" s="43">
        <f t="shared" si="3"/>
        <v>0</v>
      </c>
      <c r="M32" s="43">
        <f t="shared" si="3"/>
        <v>0</v>
      </c>
      <c r="N32" s="355"/>
    </row>
    <row r="33" spans="1:14">
      <c r="A33" s="40" t="s">
        <v>327</v>
      </c>
      <c r="B33" s="51"/>
      <c r="C33" s="149"/>
      <c r="D33" s="267"/>
      <c r="E33" s="241"/>
      <c r="F33" s="240">
        <v>0</v>
      </c>
      <c r="G33" s="240"/>
      <c r="H33" s="240">
        <v>0</v>
      </c>
      <c r="I33" s="240"/>
      <c r="J33" s="240"/>
      <c r="K33" s="240"/>
      <c r="L33" s="240"/>
      <c r="M33" s="240"/>
      <c r="N33" s="355"/>
    </row>
    <row r="34" spans="1:14">
      <c r="A34" s="40" t="s">
        <v>432</v>
      </c>
      <c r="B34" s="51"/>
      <c r="C34" s="149"/>
      <c r="D34" s="267"/>
      <c r="E34" s="241">
        <v>0</v>
      </c>
      <c r="F34" s="240"/>
      <c r="G34" s="240"/>
      <c r="H34" s="240"/>
      <c r="I34" s="240"/>
      <c r="J34" s="240"/>
      <c r="K34" s="240"/>
      <c r="L34" s="240"/>
      <c r="M34" s="240"/>
      <c r="N34" s="355"/>
    </row>
    <row r="35" spans="1:14">
      <c r="A35" s="40" t="s">
        <v>328</v>
      </c>
      <c r="B35" s="46"/>
      <c r="C35" s="47"/>
      <c r="D35" s="48">
        <f>D32+D16+D10</f>
        <v>0.13</v>
      </c>
      <c r="E35" s="42">
        <f>E32+E16+E10-E34</f>
        <v>39</v>
      </c>
      <c r="F35" s="17">
        <f>F32+F16+F10-F34</f>
        <v>51</v>
      </c>
      <c r="G35" s="17">
        <f t="shared" ref="G35:M35" si="4">G32+G16+G10-G34</f>
        <v>0</v>
      </c>
      <c r="H35" s="17">
        <f t="shared" si="4"/>
        <v>51</v>
      </c>
      <c r="I35" s="17">
        <f t="shared" si="4"/>
        <v>0</v>
      </c>
      <c r="J35" s="17">
        <f t="shared" si="4"/>
        <v>0</v>
      </c>
      <c r="K35" s="17">
        <f t="shared" si="4"/>
        <v>0</v>
      </c>
      <c r="L35" s="17">
        <f t="shared" si="4"/>
        <v>0</v>
      </c>
      <c r="M35" s="17">
        <f t="shared" si="4"/>
        <v>0</v>
      </c>
      <c r="N35" s="17">
        <f>N32+N16+N10+N34</f>
        <v>0</v>
      </c>
    </row>
    <row r="36" spans="1:14">
      <c r="A36" s="150"/>
      <c r="B36" s="381"/>
      <c r="C36" s="29"/>
      <c r="D36" s="221"/>
      <c r="E36" s="220"/>
      <c r="F36" s="220"/>
      <c r="G36" s="29"/>
      <c r="H36" s="381"/>
      <c r="I36" s="381"/>
      <c r="J36" s="381"/>
      <c r="K36" s="381"/>
      <c r="L36" s="381"/>
      <c r="M36" s="381"/>
      <c r="N36" s="381"/>
    </row>
    <row r="40" spans="1:14" s="381" customFormat="1" ht="15.6" thickBot="1">
      <c r="A40" s="31"/>
      <c r="B40" s="31"/>
      <c r="C40" s="32"/>
      <c r="D40" s="31"/>
      <c r="E40" s="31"/>
      <c r="F40" s="31"/>
      <c r="G40" s="31"/>
      <c r="H40" s="31"/>
      <c r="I40" s="31"/>
      <c r="J40" s="31"/>
      <c r="K40" s="31"/>
      <c r="L40" s="31"/>
      <c r="M40" s="31"/>
      <c r="N40" s="562"/>
    </row>
    <row r="41" spans="1:14" s="381" customFormat="1" ht="15.6">
      <c r="A41" s="764" t="s">
        <v>330</v>
      </c>
      <c r="B41" s="765"/>
      <c r="C41" s="765"/>
      <c r="D41" s="765"/>
      <c r="E41" s="765"/>
      <c r="F41" s="765"/>
      <c r="G41" s="581"/>
      <c r="H41" s="31"/>
      <c r="I41" s="31"/>
      <c r="J41" s="31"/>
      <c r="K41" s="31"/>
      <c r="L41" s="31"/>
      <c r="M41" s="31"/>
      <c r="N41" s="562"/>
    </row>
    <row r="42" spans="1:14" s="381" customFormat="1" ht="15.6">
      <c r="A42" s="738"/>
      <c r="B42" s="739"/>
      <c r="C42" s="739"/>
      <c r="D42" s="739"/>
      <c r="E42" s="739"/>
      <c r="F42" s="739"/>
      <c r="G42" s="582"/>
      <c r="H42" s="31"/>
      <c r="I42" s="31"/>
      <c r="J42" s="31"/>
      <c r="K42" s="31"/>
      <c r="L42" s="31"/>
      <c r="M42" s="31"/>
      <c r="N42" s="562"/>
    </row>
    <row r="43" spans="1:14" s="381" customFormat="1">
      <c r="A43" s="740" t="s">
        <v>331</v>
      </c>
      <c r="B43" s="741"/>
      <c r="C43" s="583"/>
      <c r="D43" s="583"/>
      <c r="E43" s="583"/>
      <c r="F43" s="583"/>
      <c r="G43" s="582"/>
      <c r="H43" s="31"/>
      <c r="I43" s="31"/>
      <c r="J43" s="31"/>
      <c r="K43" s="31"/>
      <c r="L43" s="31"/>
      <c r="M43" s="31"/>
      <c r="N43" s="562"/>
    </row>
    <row r="44" spans="1:14" s="381" customFormat="1">
      <c r="A44" s="584" t="s">
        <v>361</v>
      </c>
      <c r="B44" s="585">
        <f>+E35</f>
        <v>39</v>
      </c>
      <c r="C44" s="586"/>
      <c r="D44" s="587"/>
      <c r="E44" s="587"/>
      <c r="F44" s="587"/>
      <c r="G44" s="582"/>
      <c r="H44" s="31"/>
      <c r="I44" s="31"/>
      <c r="J44" s="31"/>
      <c r="K44" s="31"/>
      <c r="L44" s="31"/>
      <c r="M44" s="31"/>
      <c r="N44" s="562"/>
    </row>
    <row r="45" spans="1:14" s="381" customFormat="1">
      <c r="A45" s="588" t="s">
        <v>362</v>
      </c>
      <c r="B45" s="589">
        <f>+F35</f>
        <v>51</v>
      </c>
      <c r="C45" s="586"/>
      <c r="D45" s="587"/>
      <c r="E45" s="587"/>
      <c r="F45" s="587"/>
      <c r="G45" s="582"/>
      <c r="H45" s="31"/>
      <c r="I45" s="31"/>
      <c r="J45" s="31"/>
      <c r="K45" s="31"/>
      <c r="L45" s="31"/>
      <c r="M45" s="31"/>
      <c r="N45" s="562"/>
    </row>
    <row r="46" spans="1:14" s="381" customFormat="1">
      <c r="A46" s="590" t="s">
        <v>334</v>
      </c>
      <c r="B46" s="591">
        <f>B45-B44</f>
        <v>12</v>
      </c>
      <c r="C46" s="586"/>
      <c r="D46" s="587"/>
      <c r="E46" s="587"/>
      <c r="F46" s="587"/>
      <c r="G46" s="582"/>
      <c r="H46" s="31"/>
      <c r="I46" s="31"/>
      <c r="J46" s="31"/>
      <c r="K46" s="31"/>
      <c r="L46" s="31"/>
      <c r="M46" s="31"/>
      <c r="N46" s="562"/>
    </row>
    <row r="47" spans="1:14" s="381" customFormat="1">
      <c r="A47" s="590" t="s">
        <v>335</v>
      </c>
      <c r="B47" s="592">
        <f>B46/B44</f>
        <v>0.30769230769230771</v>
      </c>
      <c r="C47" s="586"/>
      <c r="D47" s="587"/>
      <c r="E47" s="587"/>
      <c r="F47" s="587"/>
      <c r="G47" s="582"/>
      <c r="H47" s="31"/>
      <c r="I47" s="31"/>
      <c r="J47" s="31"/>
      <c r="K47" s="31"/>
      <c r="L47" s="31"/>
      <c r="M47" s="31"/>
      <c r="N47" s="562"/>
    </row>
    <row r="48" spans="1:14" s="381" customFormat="1">
      <c r="A48" s="593"/>
      <c r="B48" s="587"/>
      <c r="C48" s="686"/>
      <c r="D48" s="587"/>
      <c r="E48" s="587"/>
      <c r="F48" s="587"/>
      <c r="G48" s="582"/>
      <c r="H48" s="31"/>
      <c r="I48" s="31"/>
      <c r="J48" s="31"/>
      <c r="K48" s="31"/>
      <c r="L48" s="31"/>
      <c r="M48" s="31"/>
      <c r="N48" s="562"/>
    </row>
    <row r="49" spans="1:14" s="381" customFormat="1">
      <c r="A49" s="731" t="s">
        <v>336</v>
      </c>
      <c r="B49" s="732"/>
      <c r="C49" s="732"/>
      <c r="D49" s="732"/>
      <c r="E49" s="732"/>
      <c r="F49" s="732"/>
      <c r="G49" s="582"/>
      <c r="H49" s="31"/>
      <c r="I49" s="31"/>
      <c r="J49" s="31"/>
      <c r="K49" s="31"/>
      <c r="L49" s="31"/>
      <c r="M49" s="31"/>
      <c r="N49" s="562"/>
    </row>
    <row r="50" spans="1:14" s="381" customFormat="1">
      <c r="A50" s="742" t="s">
        <v>433</v>
      </c>
      <c r="B50" s="743"/>
      <c r="C50" s="743"/>
      <c r="D50" s="743"/>
      <c r="E50" s="743"/>
      <c r="F50" s="744"/>
      <c r="G50" s="582"/>
      <c r="H50" s="31"/>
      <c r="I50" s="31"/>
      <c r="J50" s="31"/>
      <c r="K50" s="31"/>
      <c r="L50" s="31"/>
      <c r="M50" s="31"/>
      <c r="N50" s="562"/>
    </row>
    <row r="51" spans="1:14" s="381" customFormat="1">
      <c r="A51" s="594"/>
      <c r="B51" s="595"/>
      <c r="C51" s="595"/>
      <c r="D51" s="595"/>
      <c r="E51" s="595"/>
      <c r="F51" s="595"/>
      <c r="G51" s="582"/>
      <c r="H51" s="31"/>
      <c r="I51" s="31"/>
      <c r="J51" s="31"/>
      <c r="K51" s="31"/>
      <c r="L51" s="31"/>
      <c r="M51" s="31"/>
      <c r="N51" s="562"/>
    </row>
    <row r="52" spans="1:14" s="381" customFormat="1">
      <c r="A52" s="596" t="s">
        <v>337</v>
      </c>
      <c r="B52" s="587"/>
      <c r="C52" s="686"/>
      <c r="D52" s="587"/>
      <c r="E52" s="587"/>
      <c r="F52" s="587"/>
      <c r="G52" s="582"/>
      <c r="H52" s="31"/>
      <c r="I52" s="31"/>
      <c r="J52" s="31"/>
      <c r="K52" s="31"/>
      <c r="L52" s="31"/>
      <c r="M52" s="31"/>
      <c r="N52" s="562"/>
    </row>
    <row r="53" spans="1:14" s="381" customFormat="1" ht="51.05" customHeight="1">
      <c r="A53" s="742" t="s">
        <v>434</v>
      </c>
      <c r="B53" s="743"/>
      <c r="C53" s="743"/>
      <c r="D53" s="743"/>
      <c r="E53" s="743"/>
      <c r="F53" s="744"/>
      <c r="G53" s="582"/>
      <c r="H53" s="31"/>
      <c r="I53" s="31"/>
      <c r="J53" s="31"/>
      <c r="K53" s="31"/>
      <c r="L53" s="31"/>
      <c r="M53" s="31"/>
      <c r="N53" s="562"/>
    </row>
    <row r="54" spans="1:14" s="381" customFormat="1">
      <c r="A54" s="593"/>
      <c r="B54" s="587"/>
      <c r="C54" s="686"/>
      <c r="D54" s="587"/>
      <c r="E54" s="587"/>
      <c r="F54" s="587"/>
      <c r="G54" s="582"/>
      <c r="H54" s="31"/>
      <c r="I54" s="31"/>
      <c r="J54" s="31"/>
      <c r="K54" s="31"/>
      <c r="L54" s="31"/>
      <c r="M54" s="31"/>
      <c r="N54" s="562"/>
    </row>
    <row r="55" spans="1:14" s="381" customFormat="1">
      <c r="A55" s="731" t="s">
        <v>365</v>
      </c>
      <c r="B55" s="732"/>
      <c r="C55" s="732"/>
      <c r="D55" s="732"/>
      <c r="E55" s="732"/>
      <c r="F55" s="732"/>
      <c r="G55" s="582"/>
      <c r="H55" s="31"/>
      <c r="I55" s="31"/>
      <c r="J55" s="31"/>
      <c r="K55" s="31"/>
      <c r="L55" s="31"/>
      <c r="M55" s="31"/>
      <c r="N55" s="562"/>
    </row>
    <row r="56" spans="1:14" s="381" customFormat="1">
      <c r="A56" s="733" t="s">
        <v>339</v>
      </c>
      <c r="B56" s="734"/>
      <c r="C56" s="734"/>
      <c r="D56" s="734"/>
      <c r="E56" s="734"/>
      <c r="F56" s="734"/>
      <c r="G56" s="582"/>
      <c r="H56" s="31"/>
      <c r="I56" s="31"/>
      <c r="J56" s="31"/>
      <c r="K56" s="31"/>
      <c r="L56" s="31"/>
      <c r="M56" s="31"/>
      <c r="N56" s="562"/>
    </row>
    <row r="57" spans="1:14" s="565" customFormat="1" ht="30.25" customHeight="1">
      <c r="A57" s="742" t="s">
        <v>435</v>
      </c>
      <c r="B57" s="743"/>
      <c r="C57" s="743"/>
      <c r="D57" s="743"/>
      <c r="E57" s="743"/>
      <c r="F57" s="744"/>
      <c r="G57" s="663"/>
      <c r="H57" s="562"/>
      <c r="I57" s="562"/>
      <c r="J57" s="562"/>
      <c r="K57" s="562"/>
      <c r="L57" s="562"/>
      <c r="M57" s="562"/>
      <c r="N57" s="562"/>
    </row>
    <row r="58" spans="1:14" s="381" customFormat="1">
      <c r="A58" s="596"/>
      <c r="B58" s="587"/>
      <c r="C58" s="686"/>
      <c r="D58" s="587"/>
      <c r="E58" s="587"/>
      <c r="F58" s="587"/>
      <c r="G58" s="582"/>
      <c r="H58" s="31"/>
      <c r="I58" s="31"/>
      <c r="J58" s="31"/>
      <c r="K58" s="31"/>
      <c r="L58" s="31"/>
      <c r="M58" s="31"/>
      <c r="N58" s="562"/>
    </row>
    <row r="59" spans="1:14" s="381" customFormat="1">
      <c r="A59" s="731" t="s">
        <v>340</v>
      </c>
      <c r="B59" s="732"/>
      <c r="C59" s="732"/>
      <c r="D59" s="732"/>
      <c r="E59" s="732"/>
      <c r="F59" s="587"/>
      <c r="G59" s="582"/>
      <c r="H59" s="31"/>
      <c r="I59" s="31"/>
      <c r="J59" s="31"/>
      <c r="K59" s="31"/>
      <c r="L59" s="31"/>
      <c r="M59" s="31"/>
      <c r="N59" s="562"/>
    </row>
    <row r="60" spans="1:14" s="565" customFormat="1" ht="32.299999999999997" customHeight="1">
      <c r="A60" s="766" t="s">
        <v>436</v>
      </c>
      <c r="B60" s="767"/>
      <c r="C60" s="767"/>
      <c r="D60" s="767"/>
      <c r="E60" s="767"/>
      <c r="F60" s="768"/>
      <c r="G60" s="663"/>
      <c r="H60" s="562"/>
      <c r="I60" s="562"/>
      <c r="J60" s="562"/>
      <c r="K60" s="562"/>
      <c r="L60" s="562"/>
      <c r="M60" s="562"/>
      <c r="N60" s="562"/>
    </row>
    <row r="61" spans="1:14" s="381" customFormat="1">
      <c r="A61" s="593"/>
      <c r="B61" s="587"/>
      <c r="C61" s="686"/>
      <c r="D61" s="587"/>
      <c r="E61" s="587"/>
      <c r="F61" s="587"/>
      <c r="G61" s="582"/>
      <c r="H61" s="31"/>
      <c r="I61" s="31"/>
      <c r="J61" s="31"/>
      <c r="K61" s="31"/>
      <c r="L61" s="31"/>
      <c r="M61" s="31"/>
      <c r="N61" s="562"/>
    </row>
    <row r="62" spans="1:14" s="381" customFormat="1">
      <c r="A62" s="596" t="s">
        <v>341</v>
      </c>
      <c r="B62" s="587"/>
      <c r="C62" s="686"/>
      <c r="D62" s="587"/>
      <c r="E62" s="587"/>
      <c r="F62" s="587"/>
      <c r="G62" s="582"/>
      <c r="H62" s="31"/>
      <c r="I62" s="31"/>
      <c r="J62" s="31"/>
      <c r="K62" s="31"/>
      <c r="L62" s="31"/>
      <c r="M62" s="31"/>
      <c r="N62" s="562"/>
    </row>
    <row r="63" spans="1:14" s="381" customFormat="1">
      <c r="A63" s="597" t="s">
        <v>342</v>
      </c>
      <c r="B63" s="587"/>
      <c r="C63" s="686"/>
      <c r="D63" s="587"/>
      <c r="E63" s="587"/>
      <c r="F63" s="587"/>
      <c r="G63" s="582"/>
      <c r="H63" s="31"/>
      <c r="I63" s="31"/>
      <c r="J63" s="31"/>
      <c r="K63" s="31"/>
      <c r="L63" s="31"/>
      <c r="M63" s="31"/>
      <c r="N63" s="562"/>
    </row>
    <row r="64" spans="1:14" s="381" customFormat="1" ht="26.2" customHeight="1">
      <c r="A64" s="719" t="s">
        <v>368</v>
      </c>
      <c r="B64" s="720"/>
      <c r="C64" s="720"/>
      <c r="D64" s="720"/>
      <c r="E64" s="720"/>
      <c r="F64" s="720"/>
      <c r="G64" s="582"/>
      <c r="H64" s="31"/>
      <c r="I64" s="31"/>
      <c r="J64" s="31"/>
      <c r="K64" s="31"/>
      <c r="L64" s="31"/>
      <c r="M64" s="31"/>
      <c r="N64" s="562"/>
    </row>
    <row r="65" spans="1:14" s="381" customFormat="1" ht="54" customHeight="1">
      <c r="A65" s="742" t="s">
        <v>437</v>
      </c>
      <c r="B65" s="722"/>
      <c r="C65" s="722"/>
      <c r="D65" s="722"/>
      <c r="E65" s="722"/>
      <c r="F65" s="723"/>
      <c r="G65" s="582"/>
      <c r="H65" s="31"/>
      <c r="I65" s="31"/>
      <c r="J65" s="31"/>
      <c r="K65" s="31"/>
      <c r="L65" s="31"/>
      <c r="M65" s="31"/>
      <c r="N65" s="562"/>
    </row>
    <row r="66" spans="1:14" s="381" customFormat="1">
      <c r="A66" s="724"/>
      <c r="B66" s="725"/>
      <c r="C66" s="725"/>
      <c r="D66" s="725"/>
      <c r="E66" s="725"/>
      <c r="F66" s="725"/>
      <c r="G66" s="582"/>
      <c r="H66" s="31"/>
      <c r="I66" s="31"/>
      <c r="J66" s="31"/>
      <c r="K66" s="31"/>
      <c r="L66" s="31"/>
      <c r="M66" s="31"/>
      <c r="N66" s="562"/>
    </row>
    <row r="67" spans="1:14" s="381" customFormat="1">
      <c r="A67" s="597" t="s">
        <v>344</v>
      </c>
      <c r="B67" s="587"/>
      <c r="C67" s="686"/>
      <c r="D67" s="587"/>
      <c r="E67" s="587"/>
      <c r="F67" s="587"/>
      <c r="G67" s="582"/>
      <c r="H67" s="31"/>
      <c r="I67" s="31"/>
      <c r="J67" s="31"/>
      <c r="K67" s="31"/>
      <c r="L67" s="31"/>
      <c r="M67" s="31"/>
      <c r="N67" s="562"/>
    </row>
    <row r="68" spans="1:14" s="381" customFormat="1" ht="39.549999999999997" customHeight="1">
      <c r="A68" s="726" t="s">
        <v>345</v>
      </c>
      <c r="B68" s="727"/>
      <c r="C68" s="727"/>
      <c r="D68" s="727"/>
      <c r="E68" s="727"/>
      <c r="F68" s="727"/>
      <c r="G68" s="582"/>
      <c r="H68" s="31"/>
      <c r="I68" s="31"/>
      <c r="J68" s="31"/>
      <c r="K68" s="31"/>
      <c r="L68" s="31"/>
      <c r="M68" s="31"/>
      <c r="N68" s="562"/>
    </row>
    <row r="69" spans="1:14" s="381" customFormat="1" ht="63.3" customHeight="1">
      <c r="A69" s="766" t="s">
        <v>438</v>
      </c>
      <c r="B69" s="767"/>
      <c r="C69" s="767"/>
      <c r="D69" s="767"/>
      <c r="E69" s="767"/>
      <c r="F69" s="768"/>
      <c r="G69" s="582"/>
      <c r="H69" s="31"/>
      <c r="I69" s="31"/>
      <c r="J69" s="31"/>
      <c r="K69" s="31"/>
      <c r="L69" s="31"/>
      <c r="M69" s="31"/>
      <c r="N69" s="562"/>
    </row>
    <row r="70" spans="1:14" s="381" customFormat="1" ht="15.6" thickBot="1">
      <c r="A70" s="598"/>
      <c r="B70" s="599"/>
      <c r="C70" s="600"/>
      <c r="D70" s="599"/>
      <c r="E70" s="599"/>
      <c r="F70" s="599"/>
      <c r="G70" s="601"/>
      <c r="H70" s="31"/>
      <c r="I70" s="31"/>
      <c r="J70" s="31"/>
      <c r="K70" s="31"/>
      <c r="L70" s="31"/>
      <c r="M70" s="31"/>
      <c r="N70" s="562"/>
    </row>
    <row r="71" spans="1:14" s="381" customFormat="1">
      <c r="A71" s="31"/>
      <c r="B71" s="31"/>
      <c r="C71" s="32"/>
      <c r="D71" s="31"/>
      <c r="E71" s="31"/>
      <c r="F71" s="31"/>
      <c r="G71" s="31"/>
      <c r="H71" s="31"/>
      <c r="I71" s="31"/>
      <c r="J71" s="31"/>
      <c r="K71" s="31"/>
      <c r="L71" s="31"/>
      <c r="M71" s="31"/>
      <c r="N71" s="562"/>
    </row>
  </sheetData>
  <mergeCells count="17">
    <mergeCell ref="A1:N1"/>
    <mergeCell ref="A41:F41"/>
    <mergeCell ref="A42:F42"/>
    <mergeCell ref="A43:B43"/>
    <mergeCell ref="A49:F49"/>
    <mergeCell ref="A50:F50"/>
    <mergeCell ref="A53:F53"/>
    <mergeCell ref="A55:F55"/>
    <mergeCell ref="A56:F56"/>
    <mergeCell ref="A57:F57"/>
    <mergeCell ref="A68:F68"/>
    <mergeCell ref="A69:F69"/>
    <mergeCell ref="A59:E59"/>
    <mergeCell ref="A60:F60"/>
    <mergeCell ref="A64:F64"/>
    <mergeCell ref="A65:F65"/>
    <mergeCell ref="A66:F66"/>
  </mergeCells>
  <printOptions horizontalCentered="1"/>
  <pageMargins left="0.2" right="0.2" top="0.75" bottom="0.75" header="0.3" footer="0.3"/>
  <pageSetup scale="66" orientation="landscape" r:id="rId1"/>
  <headerFooter>
    <oddHeader xml:space="preserve">&amp;CDRAFT NOT FOR DISTRIBUTION, INTERNAL USE ONLY
</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N72"/>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25.42578125" customWidth="1"/>
  </cols>
  <sheetData>
    <row r="1" spans="1:14" ht="15.6">
      <c r="A1" s="745" t="s">
        <v>227</v>
      </c>
      <c r="B1" s="745"/>
      <c r="C1" s="745"/>
      <c r="D1" s="745"/>
      <c r="E1" s="745"/>
      <c r="F1" s="745"/>
      <c r="G1" s="745"/>
      <c r="H1" s="745"/>
      <c r="I1" s="745"/>
      <c r="J1" s="745"/>
      <c r="K1" s="745"/>
      <c r="L1" s="745"/>
      <c r="M1" s="745"/>
      <c r="N1" s="745"/>
    </row>
    <row r="2" spans="1:14">
      <c r="A2" s="65" t="s">
        <v>439</v>
      </c>
      <c r="B2" s="381"/>
      <c r="C2" s="687"/>
      <c r="D2" s="381"/>
      <c r="E2" s="381"/>
      <c r="F2" s="381"/>
      <c r="G2" s="381"/>
      <c r="H2" s="381"/>
      <c r="I2" s="381"/>
      <c r="J2" s="381"/>
      <c r="K2" s="381"/>
      <c r="L2" s="381"/>
      <c r="M2" s="381"/>
      <c r="N2" s="381"/>
    </row>
    <row r="3" spans="1:14">
      <c r="A3" s="68" t="s">
        <v>440</v>
      </c>
      <c r="B3" s="381"/>
      <c r="C3" s="687"/>
      <c r="D3" s="381"/>
      <c r="E3" s="381"/>
      <c r="F3" s="554" t="s">
        <v>275</v>
      </c>
      <c r="G3" s="381"/>
      <c r="H3" s="381"/>
      <c r="I3" s="381"/>
      <c r="J3" s="381"/>
      <c r="K3" s="381"/>
      <c r="L3" s="381"/>
      <c r="M3" s="381"/>
      <c r="N3" s="381"/>
    </row>
    <row r="4" spans="1:14">
      <c r="A4" s="68" t="s">
        <v>441</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442</v>
      </c>
      <c r="B7" s="36" t="s">
        <v>443</v>
      </c>
      <c r="C7" s="37" t="s">
        <v>287</v>
      </c>
      <c r="D7" s="38">
        <v>1</v>
      </c>
      <c r="E7" s="263">
        <v>190</v>
      </c>
      <c r="F7" s="309">
        <f t="shared" ref="F7:F11" si="0">SUM(G7:M7)</f>
        <v>212</v>
      </c>
      <c r="G7" s="310">
        <v>0</v>
      </c>
      <c r="H7" s="310">
        <v>0</v>
      </c>
      <c r="I7" s="310">
        <v>0</v>
      </c>
      <c r="J7" s="310">
        <v>0</v>
      </c>
      <c r="K7" s="310">
        <v>212</v>
      </c>
      <c r="L7" s="310">
        <v>0</v>
      </c>
      <c r="M7" s="311">
        <v>0</v>
      </c>
      <c r="N7" s="159"/>
    </row>
    <row r="8" spans="1:14" s="381" customFormat="1">
      <c r="A8" s="36" t="s">
        <v>444</v>
      </c>
      <c r="B8" s="36" t="s">
        <v>445</v>
      </c>
      <c r="C8" s="37" t="s">
        <v>287</v>
      </c>
      <c r="D8" s="38">
        <v>1</v>
      </c>
      <c r="E8" s="263">
        <v>93</v>
      </c>
      <c r="F8" s="309">
        <f t="shared" si="0"/>
        <v>90</v>
      </c>
      <c r="G8" s="310">
        <v>0</v>
      </c>
      <c r="H8" s="310">
        <v>0</v>
      </c>
      <c r="I8" s="310">
        <v>90</v>
      </c>
      <c r="J8" s="310">
        <v>0</v>
      </c>
      <c r="K8" s="310">
        <v>0</v>
      </c>
      <c r="L8" s="310">
        <v>0</v>
      </c>
      <c r="M8" s="311">
        <v>0</v>
      </c>
      <c r="N8" s="327"/>
    </row>
    <row r="9" spans="1:14" ht="15.05" customHeight="1">
      <c r="A9" s="36" t="s">
        <v>446</v>
      </c>
      <c r="B9" s="264" t="s">
        <v>447</v>
      </c>
      <c r="C9" s="37" t="s">
        <v>287</v>
      </c>
      <c r="D9" s="39">
        <v>1</v>
      </c>
      <c r="E9" s="263">
        <v>127</v>
      </c>
      <c r="F9" s="309">
        <f t="shared" si="0"/>
        <v>134</v>
      </c>
      <c r="G9" s="310">
        <v>0</v>
      </c>
      <c r="H9" s="310">
        <v>0</v>
      </c>
      <c r="I9" s="310">
        <v>0</v>
      </c>
      <c r="J9" s="310">
        <v>0</v>
      </c>
      <c r="K9" s="310">
        <v>134</v>
      </c>
      <c r="L9" s="310">
        <v>0</v>
      </c>
      <c r="M9" s="311">
        <v>0</v>
      </c>
      <c r="N9" s="643"/>
    </row>
    <row r="10" spans="1:14" ht="15.05" customHeight="1">
      <c r="A10" s="36" t="s">
        <v>448</v>
      </c>
      <c r="B10" s="264" t="s">
        <v>449</v>
      </c>
      <c r="C10" s="37" t="s">
        <v>287</v>
      </c>
      <c r="D10" s="39">
        <v>1</v>
      </c>
      <c r="E10" s="263">
        <v>51</v>
      </c>
      <c r="F10" s="309">
        <f t="shared" si="0"/>
        <v>52</v>
      </c>
      <c r="G10" s="310">
        <v>0</v>
      </c>
      <c r="H10" s="310">
        <v>0</v>
      </c>
      <c r="I10" s="310">
        <v>0</v>
      </c>
      <c r="J10" s="310">
        <v>52</v>
      </c>
      <c r="K10" s="310">
        <v>0</v>
      </c>
      <c r="L10" s="310">
        <v>0</v>
      </c>
      <c r="M10" s="311">
        <v>0</v>
      </c>
      <c r="N10" s="355"/>
    </row>
    <row r="11" spans="1:14" ht="26">
      <c r="A11" s="36" t="s">
        <v>450</v>
      </c>
      <c r="B11" s="382" t="s">
        <v>451</v>
      </c>
      <c r="C11" s="37" t="s">
        <v>287</v>
      </c>
      <c r="D11" s="39">
        <v>0.75</v>
      </c>
      <c r="E11" s="263">
        <v>119</v>
      </c>
      <c r="F11" s="309">
        <f t="shared" si="0"/>
        <v>122</v>
      </c>
      <c r="G11" s="310">
        <v>0</v>
      </c>
      <c r="H11" s="310">
        <v>122</v>
      </c>
      <c r="I11" s="310">
        <v>0</v>
      </c>
      <c r="J11" s="310">
        <v>0</v>
      </c>
      <c r="K11" s="310">
        <v>0</v>
      </c>
      <c r="L11" s="310">
        <f>SUM(44-44)</f>
        <v>0</v>
      </c>
      <c r="M11" s="311">
        <v>0</v>
      </c>
      <c r="N11" s="159"/>
    </row>
    <row r="12" spans="1:14">
      <c r="A12" s="40" t="s">
        <v>288</v>
      </c>
      <c r="B12" s="265"/>
      <c r="C12" s="266"/>
      <c r="D12" s="41">
        <f t="shared" ref="D12:M12" si="1">SUM(D7:D11)</f>
        <v>4.75</v>
      </c>
      <c r="E12" s="42">
        <f t="shared" si="1"/>
        <v>580</v>
      </c>
      <c r="F12" s="43">
        <f t="shared" si="1"/>
        <v>610</v>
      </c>
      <c r="G12" s="43">
        <f t="shared" si="1"/>
        <v>0</v>
      </c>
      <c r="H12" s="43">
        <f t="shared" si="1"/>
        <v>122</v>
      </c>
      <c r="I12" s="43">
        <f t="shared" si="1"/>
        <v>90</v>
      </c>
      <c r="J12" s="43">
        <f t="shared" si="1"/>
        <v>52</v>
      </c>
      <c r="K12" s="43">
        <f t="shared" si="1"/>
        <v>346</v>
      </c>
      <c r="L12" s="43">
        <f t="shared" si="1"/>
        <v>0</v>
      </c>
      <c r="M12" s="43">
        <f t="shared" si="1"/>
        <v>0</v>
      </c>
      <c r="N12" s="355"/>
    </row>
    <row r="13" spans="1:14">
      <c r="A13" s="69" t="s">
        <v>289</v>
      </c>
      <c r="B13" s="70"/>
      <c r="C13" s="71"/>
      <c r="D13" s="70"/>
      <c r="E13" s="70"/>
      <c r="F13" s="72"/>
      <c r="G13" s="72"/>
      <c r="H13" s="72"/>
      <c r="I13" s="72"/>
      <c r="J13" s="72"/>
      <c r="K13" s="72"/>
      <c r="L13" s="72"/>
      <c r="M13" s="72"/>
      <c r="N13" s="72"/>
    </row>
    <row r="14" spans="1:14">
      <c r="A14" s="264" t="s">
        <v>293</v>
      </c>
      <c r="B14" s="264"/>
      <c r="C14" s="44">
        <v>253</v>
      </c>
      <c r="D14" s="45"/>
      <c r="E14" s="263">
        <v>0</v>
      </c>
      <c r="F14" s="309">
        <f>SUM(G14:M14)</f>
        <v>0</v>
      </c>
      <c r="G14" s="310">
        <v>0</v>
      </c>
      <c r="H14" s="310">
        <v>0</v>
      </c>
      <c r="I14" s="310">
        <v>0</v>
      </c>
      <c r="J14" s="310">
        <v>0</v>
      </c>
      <c r="K14" s="310">
        <v>0</v>
      </c>
      <c r="L14" s="310">
        <v>0</v>
      </c>
      <c r="M14" s="311">
        <v>0</v>
      </c>
      <c r="N14" s="327"/>
    </row>
    <row r="15" spans="1:14">
      <c r="A15" s="264" t="s">
        <v>379</v>
      </c>
      <c r="B15" s="264"/>
      <c r="C15" s="44">
        <v>253</v>
      </c>
      <c r="D15" s="45"/>
      <c r="E15" s="263">
        <v>0</v>
      </c>
      <c r="F15" s="309">
        <f>SUM(G15:M15)</f>
        <v>0</v>
      </c>
      <c r="G15" s="310">
        <v>0</v>
      </c>
      <c r="H15" s="310">
        <v>0</v>
      </c>
      <c r="I15" s="310">
        <v>0</v>
      </c>
      <c r="J15" s="310">
        <v>0</v>
      </c>
      <c r="K15" s="310">
        <v>0</v>
      </c>
      <c r="L15" s="310">
        <v>0</v>
      </c>
      <c r="M15" s="311">
        <v>0</v>
      </c>
      <c r="N15" s="326"/>
    </row>
    <row r="16" spans="1:14">
      <c r="A16" s="264" t="s">
        <v>379</v>
      </c>
      <c r="B16" s="264"/>
      <c r="C16" s="44">
        <v>253</v>
      </c>
      <c r="D16" s="267"/>
      <c r="E16" s="263">
        <v>0</v>
      </c>
      <c r="F16" s="309">
        <f>SUM(G16:M16)</f>
        <v>0</v>
      </c>
      <c r="G16" s="310">
        <v>0</v>
      </c>
      <c r="H16" s="310">
        <v>0</v>
      </c>
      <c r="I16" s="310">
        <v>0</v>
      </c>
      <c r="J16" s="310">
        <v>0</v>
      </c>
      <c r="K16" s="310">
        <v>0</v>
      </c>
      <c r="L16" s="310">
        <v>0</v>
      </c>
      <c r="M16" s="311">
        <v>0</v>
      </c>
      <c r="N16" s="355"/>
    </row>
    <row r="17" spans="1:14">
      <c r="A17" s="40" t="s">
        <v>294</v>
      </c>
      <c r="B17" s="265"/>
      <c r="C17" s="266"/>
      <c r="D17" s="267">
        <f t="shared" ref="D17:M17" si="2">SUM(D14:D16)</f>
        <v>0</v>
      </c>
      <c r="E17" s="42">
        <f>SUM(E14:E16)</f>
        <v>0</v>
      </c>
      <c r="F17" s="43">
        <f t="shared" si="2"/>
        <v>0</v>
      </c>
      <c r="G17" s="43">
        <f t="shared" si="2"/>
        <v>0</v>
      </c>
      <c r="H17" s="43">
        <f t="shared" si="2"/>
        <v>0</v>
      </c>
      <c r="I17" s="43">
        <f t="shared" si="2"/>
        <v>0</v>
      </c>
      <c r="J17" s="43">
        <f t="shared" si="2"/>
        <v>0</v>
      </c>
      <c r="K17" s="43">
        <f t="shared" si="2"/>
        <v>0</v>
      </c>
      <c r="L17" s="43">
        <f t="shared" si="2"/>
        <v>0</v>
      </c>
      <c r="M17" s="43">
        <f t="shared" si="2"/>
        <v>0</v>
      </c>
      <c r="N17" s="355"/>
    </row>
    <row r="18" spans="1:14" s="7" customFormat="1">
      <c r="A18" s="69" t="s">
        <v>295</v>
      </c>
      <c r="B18" s="70"/>
      <c r="C18" s="71"/>
      <c r="D18" s="70"/>
      <c r="E18" s="70"/>
      <c r="F18" s="72"/>
      <c r="G18" s="72"/>
      <c r="H18" s="72"/>
      <c r="I18" s="72"/>
      <c r="J18" s="72"/>
      <c r="K18" s="72"/>
      <c r="L18" s="72"/>
      <c r="M18" s="72"/>
      <c r="N18" s="72"/>
    </row>
    <row r="19" spans="1:14" ht="26">
      <c r="A19" s="264" t="s">
        <v>296</v>
      </c>
      <c r="B19" s="36"/>
      <c r="C19" s="37" t="s">
        <v>297</v>
      </c>
      <c r="D19" s="38">
        <v>0</v>
      </c>
      <c r="E19" s="263">
        <v>34</v>
      </c>
      <c r="F19" s="309">
        <f t="shared" ref="F19:F31" si="3">SUM(G19:M19)</f>
        <v>30</v>
      </c>
      <c r="G19" s="310">
        <v>0</v>
      </c>
      <c r="H19" s="310">
        <v>4</v>
      </c>
      <c r="I19" s="310">
        <v>4</v>
      </c>
      <c r="J19" s="310">
        <f>12-10</f>
        <v>2</v>
      </c>
      <c r="K19" s="310">
        <v>20</v>
      </c>
      <c r="L19" s="310">
        <v>0</v>
      </c>
      <c r="M19" s="311">
        <v>0</v>
      </c>
      <c r="N19" s="159" t="s">
        <v>452</v>
      </c>
    </row>
    <row r="20" spans="1:14">
      <c r="A20" s="264" t="s">
        <v>298</v>
      </c>
      <c r="B20" s="36"/>
      <c r="C20" s="44" t="s">
        <v>299</v>
      </c>
      <c r="D20" s="45"/>
      <c r="E20" s="263">
        <v>0</v>
      </c>
      <c r="F20" s="309">
        <f t="shared" si="3"/>
        <v>0</v>
      </c>
      <c r="G20" s="310"/>
      <c r="H20" s="310"/>
      <c r="I20" s="310"/>
      <c r="J20" s="310"/>
      <c r="K20" s="310">
        <v>0</v>
      </c>
      <c r="L20" s="310">
        <v>0</v>
      </c>
      <c r="M20" s="311">
        <v>0</v>
      </c>
      <c r="N20" s="355"/>
    </row>
    <row r="21" spans="1:14">
      <c r="A21" s="264" t="s">
        <v>300</v>
      </c>
      <c r="B21" s="36"/>
      <c r="C21" s="44" t="s">
        <v>301</v>
      </c>
      <c r="D21" s="45"/>
      <c r="E21" s="263">
        <v>1.5</v>
      </c>
      <c r="F21" s="309">
        <f t="shared" si="3"/>
        <v>2.8</v>
      </c>
      <c r="G21" s="310"/>
      <c r="H21" s="310"/>
      <c r="I21" s="310">
        <v>0.5</v>
      </c>
      <c r="J21" s="310">
        <v>1.3</v>
      </c>
      <c r="K21" s="310">
        <v>1</v>
      </c>
      <c r="L21" s="310">
        <v>0</v>
      </c>
      <c r="M21" s="311">
        <v>0</v>
      </c>
      <c r="N21" s="512" t="s">
        <v>453</v>
      </c>
    </row>
    <row r="22" spans="1:14">
      <c r="A22" s="264" t="s">
        <v>302</v>
      </c>
      <c r="B22" s="36"/>
      <c r="C22" s="44" t="s">
        <v>303</v>
      </c>
      <c r="D22" s="45"/>
      <c r="E22" s="263">
        <v>1</v>
      </c>
      <c r="F22" s="309">
        <f t="shared" si="3"/>
        <v>1</v>
      </c>
      <c r="G22" s="310"/>
      <c r="H22" s="310"/>
      <c r="I22" s="310">
        <v>0</v>
      </c>
      <c r="J22" s="310"/>
      <c r="K22" s="310">
        <v>1</v>
      </c>
      <c r="L22" s="310">
        <v>0</v>
      </c>
      <c r="M22" s="311">
        <v>0</v>
      </c>
      <c r="N22" s="355"/>
    </row>
    <row r="23" spans="1:14">
      <c r="A23" s="264" t="s">
        <v>304</v>
      </c>
      <c r="B23" s="36"/>
      <c r="C23" s="44">
        <v>251</v>
      </c>
      <c r="D23" s="45"/>
      <c r="E23" s="263">
        <v>0</v>
      </c>
      <c r="F23" s="309">
        <f t="shared" si="3"/>
        <v>30</v>
      </c>
      <c r="G23" s="310">
        <v>0</v>
      </c>
      <c r="H23" s="310">
        <v>0</v>
      </c>
      <c r="I23" s="310">
        <v>0</v>
      </c>
      <c r="J23" s="310">
        <v>0</v>
      </c>
      <c r="K23" s="310">
        <v>30</v>
      </c>
      <c r="L23" s="310">
        <v>0</v>
      </c>
      <c r="M23" s="311">
        <v>0</v>
      </c>
      <c r="N23" s="325" t="s">
        <v>454</v>
      </c>
    </row>
    <row r="24" spans="1:14">
      <c r="A24" s="264" t="s">
        <v>314</v>
      </c>
      <c r="B24" s="36"/>
      <c r="C24" s="44">
        <v>252</v>
      </c>
      <c r="D24" s="45"/>
      <c r="E24" s="263">
        <v>3.5</v>
      </c>
      <c r="F24" s="309">
        <f t="shared" si="3"/>
        <v>4.5</v>
      </c>
      <c r="G24" s="310"/>
      <c r="H24" s="310">
        <v>0</v>
      </c>
      <c r="I24" s="310">
        <v>1</v>
      </c>
      <c r="J24" s="310">
        <v>0.5</v>
      </c>
      <c r="K24" s="310">
        <v>3</v>
      </c>
      <c r="L24" s="310">
        <v>0</v>
      </c>
      <c r="M24" s="311">
        <v>0</v>
      </c>
      <c r="N24" s="355"/>
    </row>
    <row r="25" spans="1:14" ht="29.7">
      <c r="A25" s="264" t="s">
        <v>430</v>
      </c>
      <c r="B25" s="36"/>
      <c r="C25" s="44">
        <v>252</v>
      </c>
      <c r="D25" s="45"/>
      <c r="E25" s="263">
        <v>10</v>
      </c>
      <c r="F25" s="309">
        <f t="shared" si="3"/>
        <v>12</v>
      </c>
      <c r="G25" s="310">
        <v>0</v>
      </c>
      <c r="H25" s="310">
        <v>5</v>
      </c>
      <c r="I25" s="310">
        <v>0</v>
      </c>
      <c r="J25" s="310">
        <v>0</v>
      </c>
      <c r="K25" s="310">
        <f>5+2</f>
        <v>7</v>
      </c>
      <c r="L25" s="310">
        <v>0</v>
      </c>
      <c r="M25" s="311">
        <v>0</v>
      </c>
      <c r="N25" s="325" t="s">
        <v>455</v>
      </c>
    </row>
    <row r="26" spans="1:14">
      <c r="A26" s="264" t="s">
        <v>315</v>
      </c>
      <c r="B26" s="36"/>
      <c r="C26" s="44">
        <v>253</v>
      </c>
      <c r="D26" s="264"/>
      <c r="E26" s="263">
        <v>0</v>
      </c>
      <c r="F26" s="309">
        <f t="shared" si="3"/>
        <v>0</v>
      </c>
      <c r="G26" s="310"/>
      <c r="H26" s="310"/>
      <c r="I26" s="310"/>
      <c r="J26" s="310"/>
      <c r="K26" s="310">
        <v>0</v>
      </c>
      <c r="L26" s="310">
        <v>0</v>
      </c>
      <c r="M26" s="311">
        <v>0</v>
      </c>
      <c r="N26" s="355"/>
    </row>
    <row r="27" spans="1:14">
      <c r="A27" s="264" t="s">
        <v>316</v>
      </c>
      <c r="B27" s="36"/>
      <c r="C27" s="44">
        <v>255</v>
      </c>
      <c r="D27" s="264"/>
      <c r="E27" s="263">
        <v>0</v>
      </c>
      <c r="F27" s="309">
        <f t="shared" si="3"/>
        <v>0</v>
      </c>
      <c r="G27" s="310">
        <v>0</v>
      </c>
      <c r="H27" s="310">
        <v>0</v>
      </c>
      <c r="I27" s="310">
        <v>0</v>
      </c>
      <c r="J27" s="310">
        <v>0</v>
      </c>
      <c r="K27" s="310">
        <v>0</v>
      </c>
      <c r="L27" s="310">
        <v>0</v>
      </c>
      <c r="M27" s="311">
        <v>0</v>
      </c>
      <c r="N27" s="355"/>
    </row>
    <row r="28" spans="1:14">
      <c r="A28" s="264" t="s">
        <v>317</v>
      </c>
      <c r="B28" s="36"/>
      <c r="C28" s="44">
        <v>256</v>
      </c>
      <c r="D28" s="264"/>
      <c r="E28" s="263">
        <v>0</v>
      </c>
      <c r="F28" s="309">
        <f t="shared" si="3"/>
        <v>0</v>
      </c>
      <c r="G28" s="310">
        <v>0</v>
      </c>
      <c r="H28" s="310">
        <v>0</v>
      </c>
      <c r="I28" s="310">
        <v>0</v>
      </c>
      <c r="J28" s="310">
        <v>0</v>
      </c>
      <c r="K28" s="310">
        <v>0</v>
      </c>
      <c r="L28" s="310">
        <v>0</v>
      </c>
      <c r="M28" s="311">
        <v>0</v>
      </c>
      <c r="N28" s="355"/>
    </row>
    <row r="29" spans="1:14">
      <c r="A29" s="264" t="s">
        <v>318</v>
      </c>
      <c r="B29" s="36"/>
      <c r="C29" s="44">
        <v>257</v>
      </c>
      <c r="D29" s="264"/>
      <c r="E29" s="263">
        <v>0.5</v>
      </c>
      <c r="F29" s="309">
        <f t="shared" si="3"/>
        <v>0.5</v>
      </c>
      <c r="G29" s="310">
        <v>0</v>
      </c>
      <c r="H29" s="310">
        <v>0</v>
      </c>
      <c r="I29" s="310">
        <v>0</v>
      </c>
      <c r="J29" s="310">
        <v>0.5</v>
      </c>
      <c r="K29" s="310">
        <v>0</v>
      </c>
      <c r="L29" s="310">
        <v>0</v>
      </c>
      <c r="M29" s="311">
        <v>0</v>
      </c>
      <c r="N29" s="325" t="s">
        <v>456</v>
      </c>
    </row>
    <row r="30" spans="1:14">
      <c r="A30" s="264" t="s">
        <v>319</v>
      </c>
      <c r="B30" s="36"/>
      <c r="C30" s="44" t="s">
        <v>320</v>
      </c>
      <c r="D30" s="264"/>
      <c r="E30" s="263">
        <v>4</v>
      </c>
      <c r="F30" s="309">
        <f t="shared" si="3"/>
        <v>4.5</v>
      </c>
      <c r="G30" s="310">
        <v>0</v>
      </c>
      <c r="H30" s="310">
        <v>0</v>
      </c>
      <c r="I30" s="310">
        <v>0</v>
      </c>
      <c r="J30" s="310">
        <v>0.5</v>
      </c>
      <c r="K30" s="310">
        <f>3+1</f>
        <v>4</v>
      </c>
      <c r="L30" s="310">
        <v>0</v>
      </c>
      <c r="M30" s="311">
        <v>0</v>
      </c>
      <c r="N30" s="325" t="s">
        <v>457</v>
      </c>
    </row>
    <row r="31" spans="1:14" s="381" customFormat="1">
      <c r="A31" s="265" t="s">
        <v>321</v>
      </c>
      <c r="B31" s="36"/>
      <c r="C31" s="266" t="s">
        <v>322</v>
      </c>
      <c r="D31" s="265"/>
      <c r="E31" s="263">
        <v>2.5</v>
      </c>
      <c r="F31" s="309">
        <f t="shared" si="3"/>
        <v>3.7</v>
      </c>
      <c r="G31" s="310">
        <v>0</v>
      </c>
      <c r="H31" s="310">
        <v>0</v>
      </c>
      <c r="I31" s="310">
        <v>0.5</v>
      </c>
      <c r="J31" s="310">
        <f>2.2-1</f>
        <v>1.2000000000000002</v>
      </c>
      <c r="K31" s="310">
        <v>2</v>
      </c>
      <c r="L31" s="310">
        <v>0</v>
      </c>
      <c r="M31" s="311">
        <v>0</v>
      </c>
      <c r="N31" s="325" t="s">
        <v>456</v>
      </c>
    </row>
    <row r="32" spans="1:14" ht="44.55">
      <c r="A32" s="265" t="s">
        <v>323</v>
      </c>
      <c r="B32" s="36"/>
      <c r="C32" s="37" t="s">
        <v>324</v>
      </c>
      <c r="D32" s="265"/>
      <c r="E32" s="263">
        <v>-33</v>
      </c>
      <c r="F32" s="309">
        <f>SUM(G32:M32)</f>
        <v>0</v>
      </c>
      <c r="G32" s="310">
        <v>0</v>
      </c>
      <c r="H32" s="310">
        <v>0</v>
      </c>
      <c r="I32" s="310">
        <v>0</v>
      </c>
      <c r="J32" s="310">
        <v>0</v>
      </c>
      <c r="K32" s="310">
        <v>0</v>
      </c>
      <c r="L32" s="310">
        <v>0</v>
      </c>
      <c r="M32" s="311">
        <v>0</v>
      </c>
      <c r="N32" s="325" t="s">
        <v>458</v>
      </c>
    </row>
    <row r="33" spans="1:14">
      <c r="A33" s="40" t="s">
        <v>326</v>
      </c>
      <c r="B33" s="265"/>
      <c r="C33" s="266"/>
      <c r="D33" s="267"/>
      <c r="E33" s="42">
        <f>SUM(E19:E32)</f>
        <v>24</v>
      </c>
      <c r="F33" s="43">
        <f t="shared" ref="F33:M33" si="4">SUM(F19:F32)</f>
        <v>89</v>
      </c>
      <c r="G33" s="43">
        <f t="shared" si="4"/>
        <v>0</v>
      </c>
      <c r="H33" s="43">
        <f t="shared" si="4"/>
        <v>9</v>
      </c>
      <c r="I33" s="43">
        <f t="shared" si="4"/>
        <v>6</v>
      </c>
      <c r="J33" s="43">
        <f t="shared" si="4"/>
        <v>6</v>
      </c>
      <c r="K33" s="43">
        <f t="shared" si="4"/>
        <v>68</v>
      </c>
      <c r="L33" s="43">
        <f t="shared" si="4"/>
        <v>0</v>
      </c>
      <c r="M33" s="43">
        <f t="shared" si="4"/>
        <v>0</v>
      </c>
      <c r="N33" s="355"/>
    </row>
    <row r="34" spans="1:14">
      <c r="A34" s="40" t="s">
        <v>327</v>
      </c>
      <c r="B34" s="51"/>
      <c r="C34" s="149"/>
      <c r="D34" s="267"/>
      <c r="E34" s="241">
        <v>0</v>
      </c>
      <c r="F34" s="240">
        <f>SUM(G34:M34)</f>
        <v>0</v>
      </c>
      <c r="G34" s="240"/>
      <c r="H34" s="240"/>
      <c r="I34" s="240"/>
      <c r="J34" s="240"/>
      <c r="K34" s="240"/>
      <c r="L34" s="240"/>
      <c r="M34" s="240"/>
      <c r="N34" s="355"/>
    </row>
    <row r="35" spans="1:14">
      <c r="A35" s="40" t="s">
        <v>328</v>
      </c>
      <c r="B35" s="46"/>
      <c r="C35" s="47"/>
      <c r="D35" s="48">
        <f>D33+D17+D12</f>
        <v>4.75</v>
      </c>
      <c r="E35" s="42">
        <f t="shared" ref="E35:M35" si="5">E33+E17+E12-E34</f>
        <v>604</v>
      </c>
      <c r="F35" s="17">
        <f t="shared" si="5"/>
        <v>699</v>
      </c>
      <c r="G35" s="17">
        <f t="shared" si="5"/>
        <v>0</v>
      </c>
      <c r="H35" s="17">
        <f t="shared" si="5"/>
        <v>131</v>
      </c>
      <c r="I35" s="17">
        <f t="shared" si="5"/>
        <v>96</v>
      </c>
      <c r="J35" s="17">
        <f t="shared" si="5"/>
        <v>58</v>
      </c>
      <c r="K35" s="17">
        <f t="shared" si="5"/>
        <v>414</v>
      </c>
      <c r="L35" s="17">
        <f t="shared" si="5"/>
        <v>0</v>
      </c>
      <c r="M35" s="17">
        <f t="shared" si="5"/>
        <v>0</v>
      </c>
      <c r="N35" s="353"/>
    </row>
    <row r="38" spans="1:14" s="381" customFormat="1" ht="15.6" thickBot="1">
      <c r="A38" s="31"/>
      <c r="B38" s="31"/>
      <c r="C38" s="32"/>
      <c r="D38" s="31"/>
      <c r="E38" s="31"/>
      <c r="F38" s="31"/>
      <c r="G38" s="31"/>
      <c r="H38" s="31"/>
      <c r="I38" s="31"/>
      <c r="J38" s="31"/>
      <c r="K38" s="31"/>
      <c r="L38" s="31"/>
      <c r="M38" s="31"/>
      <c r="N38" s="562"/>
    </row>
    <row r="39" spans="1:14" s="381" customFormat="1" ht="15.6">
      <c r="A39" s="764" t="s">
        <v>330</v>
      </c>
      <c r="B39" s="765"/>
      <c r="C39" s="765"/>
      <c r="D39" s="765"/>
      <c r="E39" s="765"/>
      <c r="F39" s="765"/>
      <c r="G39" s="581"/>
      <c r="H39" s="31"/>
      <c r="I39" s="31"/>
      <c r="J39" s="31"/>
      <c r="K39" s="31"/>
      <c r="L39" s="31"/>
      <c r="M39" s="31"/>
      <c r="N39" s="562"/>
    </row>
    <row r="40" spans="1:14" s="381" customFormat="1" ht="15.6">
      <c r="A40" s="738"/>
      <c r="B40" s="739"/>
      <c r="C40" s="739"/>
      <c r="D40" s="739"/>
      <c r="E40" s="739"/>
      <c r="F40" s="739"/>
      <c r="G40" s="582"/>
      <c r="H40" s="31"/>
      <c r="I40" s="31"/>
      <c r="J40" s="31"/>
      <c r="K40" s="31"/>
      <c r="L40" s="31"/>
      <c r="M40" s="31"/>
      <c r="N40" s="562"/>
    </row>
    <row r="41" spans="1:14" s="381" customFormat="1">
      <c r="A41" s="740" t="s">
        <v>331</v>
      </c>
      <c r="B41" s="741"/>
      <c r="C41" s="583"/>
      <c r="D41" s="583"/>
      <c r="E41" s="583"/>
      <c r="F41" s="583"/>
      <c r="G41" s="582"/>
      <c r="H41" s="31"/>
      <c r="I41" s="31"/>
      <c r="J41" s="31"/>
      <c r="K41" s="31"/>
      <c r="L41" s="31"/>
      <c r="M41" s="31"/>
      <c r="N41" s="562"/>
    </row>
    <row r="42" spans="1:14" s="381" customFormat="1">
      <c r="A42" s="584" t="s">
        <v>361</v>
      </c>
      <c r="B42" s="585">
        <f>E35</f>
        <v>604</v>
      </c>
      <c r="C42" s="586"/>
      <c r="D42" s="587"/>
      <c r="E42" s="587"/>
      <c r="F42" s="587"/>
      <c r="G42" s="582"/>
      <c r="H42" s="31"/>
      <c r="I42" s="31"/>
      <c r="J42" s="31"/>
      <c r="K42" s="31"/>
      <c r="L42" s="31"/>
      <c r="M42" s="31"/>
      <c r="N42" s="562"/>
    </row>
    <row r="43" spans="1:14" s="381" customFormat="1">
      <c r="A43" s="588" t="s">
        <v>362</v>
      </c>
      <c r="B43" s="589">
        <f>F35</f>
        <v>699</v>
      </c>
      <c r="C43" s="586"/>
      <c r="D43" s="587"/>
      <c r="E43" s="587"/>
      <c r="F43" s="587"/>
      <c r="G43" s="582"/>
      <c r="H43" s="31"/>
      <c r="I43" s="31"/>
      <c r="J43" s="31"/>
      <c r="K43" s="31"/>
      <c r="L43" s="31"/>
      <c r="M43" s="31"/>
      <c r="N43" s="562"/>
    </row>
    <row r="44" spans="1:14" s="381" customFormat="1">
      <c r="A44" s="590" t="s">
        <v>334</v>
      </c>
      <c r="B44" s="591">
        <f>B43-B42</f>
        <v>95</v>
      </c>
      <c r="C44" s="586"/>
      <c r="D44" s="587"/>
      <c r="E44" s="587"/>
      <c r="F44" s="587"/>
      <c r="G44" s="582"/>
      <c r="H44" s="31"/>
      <c r="I44" s="31"/>
      <c r="J44" s="31"/>
      <c r="K44" s="31"/>
      <c r="L44" s="31"/>
      <c r="M44" s="31"/>
      <c r="N44" s="562"/>
    </row>
    <row r="45" spans="1:14" s="381" customFormat="1">
      <c r="A45" s="590" t="s">
        <v>335</v>
      </c>
      <c r="B45" s="592">
        <f>B44/B42</f>
        <v>0.15728476821192053</v>
      </c>
      <c r="C45" s="586"/>
      <c r="D45" s="587"/>
      <c r="E45" s="587"/>
      <c r="F45" s="587"/>
      <c r="G45" s="582"/>
      <c r="H45" s="31"/>
      <c r="I45" s="31"/>
      <c r="J45" s="31"/>
      <c r="K45" s="31"/>
      <c r="L45" s="31"/>
      <c r="M45" s="31"/>
      <c r="N45" s="562"/>
    </row>
    <row r="46" spans="1:14" s="381" customFormat="1">
      <c r="A46" s="593"/>
      <c r="B46" s="587"/>
      <c r="C46" s="686"/>
      <c r="D46" s="587"/>
      <c r="E46" s="587"/>
      <c r="F46" s="587"/>
      <c r="G46" s="582"/>
      <c r="H46" s="31"/>
      <c r="I46" s="31"/>
      <c r="J46" s="31"/>
      <c r="K46" s="31"/>
      <c r="L46" s="31"/>
      <c r="M46" s="31"/>
      <c r="N46" s="562"/>
    </row>
    <row r="47" spans="1:14" s="381" customFormat="1">
      <c r="A47" s="731" t="s">
        <v>336</v>
      </c>
      <c r="B47" s="732"/>
      <c r="C47" s="732"/>
      <c r="D47" s="732"/>
      <c r="E47" s="732"/>
      <c r="F47" s="732"/>
      <c r="G47" s="582"/>
      <c r="H47" s="31"/>
      <c r="I47" s="31"/>
      <c r="J47" s="31"/>
      <c r="K47" s="31"/>
      <c r="L47" s="31"/>
      <c r="M47" s="31"/>
      <c r="N47" s="562"/>
    </row>
    <row r="48" spans="1:14" s="381" customFormat="1" ht="113.6" customHeight="1">
      <c r="A48" s="742" t="s">
        <v>459</v>
      </c>
      <c r="B48" s="743"/>
      <c r="C48" s="743"/>
      <c r="D48" s="743"/>
      <c r="E48" s="743"/>
      <c r="F48" s="744"/>
      <c r="G48" s="582"/>
      <c r="H48" s="31"/>
      <c r="I48" s="31"/>
      <c r="J48" s="31"/>
      <c r="K48" s="31"/>
      <c r="L48" s="31"/>
      <c r="M48" s="31"/>
      <c r="N48" s="562"/>
    </row>
    <row r="49" spans="1:14" s="381" customFormat="1">
      <c r="A49" s="594"/>
      <c r="B49" s="595"/>
      <c r="C49" s="595"/>
      <c r="D49" s="595"/>
      <c r="E49" s="595"/>
      <c r="F49" s="595"/>
      <c r="G49" s="582"/>
      <c r="H49" s="31"/>
      <c r="I49" s="31"/>
      <c r="J49" s="31"/>
      <c r="K49" s="31"/>
      <c r="L49" s="31"/>
      <c r="M49" s="31"/>
      <c r="N49" s="562"/>
    </row>
    <row r="50" spans="1:14" s="381" customFormat="1">
      <c r="A50" s="596" t="s">
        <v>337</v>
      </c>
      <c r="B50" s="587"/>
      <c r="C50" s="686"/>
      <c r="D50" s="587"/>
      <c r="E50" s="587"/>
      <c r="F50" s="587"/>
      <c r="G50" s="582"/>
      <c r="H50" s="31"/>
      <c r="I50" s="31"/>
      <c r="J50" s="31"/>
      <c r="K50" s="31"/>
      <c r="L50" s="31"/>
      <c r="M50" s="31"/>
      <c r="N50" s="562"/>
    </row>
    <row r="51" spans="1:14" s="381" customFormat="1" ht="52" customHeight="1">
      <c r="A51" s="742" t="s">
        <v>460</v>
      </c>
      <c r="B51" s="743"/>
      <c r="C51" s="743"/>
      <c r="D51" s="743"/>
      <c r="E51" s="743"/>
      <c r="F51" s="744"/>
      <c r="G51" s="582"/>
      <c r="H51" s="31"/>
      <c r="I51" s="31"/>
      <c r="J51" s="31"/>
      <c r="K51" s="31"/>
      <c r="L51" s="31"/>
      <c r="M51" s="31"/>
      <c r="N51" s="562"/>
    </row>
    <row r="52" spans="1:14" s="381" customFormat="1">
      <c r="A52" s="593"/>
      <c r="B52" s="587"/>
      <c r="C52" s="686"/>
      <c r="D52" s="587"/>
      <c r="E52" s="587"/>
      <c r="F52" s="587"/>
      <c r="G52" s="582"/>
      <c r="H52" s="31"/>
      <c r="I52" s="31"/>
      <c r="J52" s="31"/>
      <c r="K52" s="31"/>
      <c r="L52" s="31"/>
      <c r="M52" s="31"/>
      <c r="N52" s="562"/>
    </row>
    <row r="53" spans="1:14" s="381" customFormat="1">
      <c r="A53" s="731" t="s">
        <v>365</v>
      </c>
      <c r="B53" s="732"/>
      <c r="C53" s="732"/>
      <c r="D53" s="732"/>
      <c r="E53" s="732"/>
      <c r="F53" s="732"/>
      <c r="G53" s="582"/>
      <c r="H53" s="31"/>
      <c r="I53" s="31"/>
      <c r="J53" s="31"/>
      <c r="K53" s="31"/>
      <c r="L53" s="31"/>
      <c r="M53" s="31"/>
      <c r="N53" s="562"/>
    </row>
    <row r="54" spans="1:14" s="381" customFormat="1">
      <c r="A54" s="733" t="s">
        <v>461</v>
      </c>
      <c r="B54" s="734"/>
      <c r="C54" s="734"/>
      <c r="D54" s="734"/>
      <c r="E54" s="734"/>
      <c r="F54" s="734"/>
      <c r="G54" s="582"/>
      <c r="H54" s="31"/>
      <c r="I54" s="31"/>
      <c r="J54" s="31"/>
      <c r="K54" s="31"/>
      <c r="L54" s="31"/>
      <c r="M54" s="31"/>
      <c r="N54" s="562"/>
    </row>
    <row r="55" spans="1:14" s="381" customFormat="1" ht="86.85" customHeight="1">
      <c r="A55" s="742" t="s">
        <v>462</v>
      </c>
      <c r="B55" s="736"/>
      <c r="C55" s="736"/>
      <c r="D55" s="736"/>
      <c r="E55" s="736"/>
      <c r="F55" s="737"/>
      <c r="G55" s="582"/>
      <c r="H55" s="31"/>
      <c r="I55" s="31"/>
      <c r="J55" s="31"/>
      <c r="K55" s="31"/>
      <c r="L55" s="31"/>
      <c r="M55" s="31"/>
      <c r="N55" s="562"/>
    </row>
    <row r="56" spans="1:14" s="381" customFormat="1">
      <c r="A56" s="596"/>
      <c r="B56" s="587"/>
      <c r="C56" s="686"/>
      <c r="D56" s="587"/>
      <c r="E56" s="587"/>
      <c r="F56" s="587"/>
      <c r="G56" s="582"/>
      <c r="H56" s="31"/>
      <c r="I56" s="31"/>
      <c r="J56" s="31"/>
      <c r="K56" s="31"/>
      <c r="L56" s="31"/>
      <c r="M56" s="31"/>
      <c r="N56" s="562"/>
    </row>
    <row r="57" spans="1:14" s="381" customFormat="1">
      <c r="A57" s="731" t="s">
        <v>340</v>
      </c>
      <c r="B57" s="732"/>
      <c r="C57" s="732"/>
      <c r="D57" s="732"/>
      <c r="E57" s="732"/>
      <c r="F57" s="587"/>
      <c r="G57" s="582"/>
      <c r="H57" s="31"/>
      <c r="I57" s="31"/>
      <c r="J57" s="31"/>
      <c r="K57" s="31"/>
      <c r="L57" s="31"/>
      <c r="M57" s="31"/>
      <c r="N57" s="562"/>
    </row>
    <row r="58" spans="1:14" s="381" customFormat="1" ht="30.25" customHeight="1">
      <c r="A58" s="742" t="s">
        <v>463</v>
      </c>
      <c r="B58" s="736"/>
      <c r="C58" s="736"/>
      <c r="D58" s="736"/>
      <c r="E58" s="736"/>
      <c r="F58" s="737"/>
      <c r="G58" s="582"/>
      <c r="H58" s="31"/>
      <c r="I58" s="31"/>
      <c r="J58" s="31"/>
      <c r="K58" s="31"/>
      <c r="L58" s="31"/>
      <c r="M58" s="31"/>
      <c r="N58" s="562"/>
    </row>
    <row r="59" spans="1:14" s="381" customFormat="1">
      <c r="A59" s="593"/>
      <c r="B59" s="587"/>
      <c r="C59" s="686"/>
      <c r="D59" s="587"/>
      <c r="E59" s="587"/>
      <c r="F59" s="587"/>
      <c r="G59" s="582"/>
      <c r="H59" s="31"/>
      <c r="I59" s="31"/>
      <c r="J59" s="31"/>
      <c r="K59" s="31"/>
      <c r="L59" s="31"/>
      <c r="M59" s="31"/>
      <c r="N59" s="562"/>
    </row>
    <row r="60" spans="1:14" s="381" customFormat="1">
      <c r="A60" s="596" t="s">
        <v>341</v>
      </c>
      <c r="B60" s="587"/>
      <c r="C60" s="686"/>
      <c r="D60" s="587"/>
      <c r="E60" s="587"/>
      <c r="F60" s="587"/>
      <c r="G60" s="582"/>
      <c r="H60" s="31"/>
      <c r="I60" s="31"/>
      <c r="J60" s="31"/>
      <c r="K60" s="31"/>
      <c r="L60" s="31"/>
      <c r="M60" s="31"/>
      <c r="N60" s="562"/>
    </row>
    <row r="61" spans="1:14" s="381" customFormat="1">
      <c r="A61" s="597" t="s">
        <v>342</v>
      </c>
      <c r="B61" s="587"/>
      <c r="C61" s="686"/>
      <c r="D61" s="587"/>
      <c r="E61" s="587"/>
      <c r="F61" s="587"/>
      <c r="G61" s="582"/>
      <c r="H61" s="31"/>
      <c r="I61" s="31"/>
      <c r="J61" s="31"/>
      <c r="K61" s="31"/>
      <c r="L61" s="31"/>
      <c r="M61" s="31"/>
      <c r="N61" s="562"/>
    </row>
    <row r="62" spans="1:14" s="381" customFormat="1" ht="26.2" customHeight="1">
      <c r="A62" s="719" t="s">
        <v>368</v>
      </c>
      <c r="B62" s="720"/>
      <c r="C62" s="720"/>
      <c r="D62" s="720"/>
      <c r="E62" s="720"/>
      <c r="F62" s="720"/>
      <c r="G62" s="582"/>
      <c r="H62" s="31"/>
      <c r="I62" s="31"/>
      <c r="J62" s="31"/>
      <c r="K62" s="31"/>
      <c r="L62" s="31"/>
      <c r="M62" s="31"/>
      <c r="N62" s="562"/>
    </row>
    <row r="63" spans="1:14" s="381" customFormat="1" ht="50.5" customHeight="1">
      <c r="A63" s="742" t="s">
        <v>464</v>
      </c>
      <c r="B63" s="722"/>
      <c r="C63" s="722"/>
      <c r="D63" s="722"/>
      <c r="E63" s="722"/>
      <c r="F63" s="723"/>
      <c r="G63" s="582"/>
      <c r="H63" s="31"/>
      <c r="I63" s="31"/>
      <c r="J63" s="31"/>
      <c r="K63" s="31"/>
      <c r="L63" s="31"/>
      <c r="M63" s="31"/>
      <c r="N63" s="562"/>
    </row>
    <row r="64" spans="1:14" s="381" customFormat="1" ht="5.2" customHeight="1">
      <c r="A64" s="724"/>
      <c r="B64" s="725"/>
      <c r="C64" s="725"/>
      <c r="D64" s="725"/>
      <c r="E64" s="725"/>
      <c r="F64" s="725"/>
      <c r="G64" s="582"/>
      <c r="H64" s="31"/>
      <c r="I64" s="31"/>
      <c r="J64" s="31"/>
      <c r="K64" s="31"/>
      <c r="L64" s="31"/>
      <c r="M64" s="31"/>
      <c r="N64" s="562"/>
    </row>
    <row r="65" spans="1:14" s="381" customFormat="1">
      <c r="A65" s="597" t="s">
        <v>344</v>
      </c>
      <c r="B65" s="587"/>
      <c r="C65" s="686"/>
      <c r="D65" s="587"/>
      <c r="E65" s="587"/>
      <c r="F65" s="587"/>
      <c r="G65" s="582"/>
      <c r="H65" s="31"/>
      <c r="I65" s="31"/>
      <c r="J65" s="31"/>
      <c r="K65" s="31"/>
      <c r="L65" s="31"/>
      <c r="M65" s="31"/>
      <c r="N65" s="562"/>
    </row>
    <row r="66" spans="1:14" s="381" customFormat="1" ht="36.75" customHeight="1">
      <c r="A66" s="726" t="s">
        <v>345</v>
      </c>
      <c r="B66" s="727"/>
      <c r="C66" s="727"/>
      <c r="D66" s="727"/>
      <c r="E66" s="727"/>
      <c r="F66" s="727"/>
      <c r="G66" s="582"/>
      <c r="H66" s="31"/>
      <c r="I66" s="31"/>
      <c r="J66" s="31"/>
      <c r="K66" s="31"/>
      <c r="L66" s="31"/>
      <c r="M66" s="31"/>
      <c r="N66" s="562"/>
    </row>
    <row r="67" spans="1:14" s="381" customFormat="1" ht="59.95" customHeight="1">
      <c r="A67" s="742" t="s">
        <v>465</v>
      </c>
      <c r="B67" s="743"/>
      <c r="C67" s="743"/>
      <c r="D67" s="743"/>
      <c r="E67" s="743"/>
      <c r="F67" s="744"/>
      <c r="G67" s="582"/>
      <c r="H67" s="31"/>
      <c r="I67" s="31"/>
      <c r="J67" s="31"/>
      <c r="K67" s="31"/>
      <c r="L67" s="31"/>
      <c r="M67" s="31"/>
      <c r="N67" s="562"/>
    </row>
    <row r="68" spans="1:14" s="381" customFormat="1" ht="15.6" thickBot="1">
      <c r="A68" s="598"/>
      <c r="B68" s="599"/>
      <c r="C68" s="600"/>
      <c r="D68" s="599"/>
      <c r="E68" s="599"/>
      <c r="F68" s="599"/>
      <c r="G68" s="601"/>
      <c r="H68" s="31"/>
      <c r="I68" s="31"/>
      <c r="J68" s="31"/>
      <c r="K68" s="31"/>
      <c r="L68" s="31"/>
      <c r="M68" s="31"/>
      <c r="N68" s="562"/>
    </row>
    <row r="69" spans="1:14" s="381" customFormat="1">
      <c r="A69" s="31"/>
      <c r="B69" s="31"/>
      <c r="C69" s="32"/>
      <c r="D69" s="31"/>
      <c r="E69" s="31"/>
      <c r="F69" s="31"/>
      <c r="G69" s="31"/>
      <c r="H69" s="31"/>
      <c r="I69" s="31"/>
      <c r="J69" s="31"/>
      <c r="K69" s="31"/>
      <c r="L69" s="31"/>
      <c r="M69" s="31"/>
      <c r="N69" s="562"/>
    </row>
    <row r="70" spans="1:14" s="381" customFormat="1">
      <c r="C70" s="687"/>
    </row>
    <row r="71" spans="1:14" s="381" customFormat="1">
      <c r="C71" s="687"/>
    </row>
    <row r="72" spans="1:14" s="381" customFormat="1">
      <c r="C72" s="687"/>
    </row>
  </sheetData>
  <mergeCells count="17">
    <mergeCell ref="A1:N1"/>
    <mergeCell ref="A39:F39"/>
    <mergeCell ref="A40:F40"/>
    <mergeCell ref="A41:B41"/>
    <mergeCell ref="A47:F47"/>
    <mergeCell ref="A48:F48"/>
    <mergeCell ref="A51:F51"/>
    <mergeCell ref="A53:F53"/>
    <mergeCell ref="A54:F54"/>
    <mergeCell ref="A55:F55"/>
    <mergeCell ref="A66:F66"/>
    <mergeCell ref="A67:F67"/>
    <mergeCell ref="A57:E57"/>
    <mergeCell ref="A58:F58"/>
    <mergeCell ref="A62:F62"/>
    <mergeCell ref="A63:F63"/>
    <mergeCell ref="A64:F64"/>
  </mergeCells>
  <printOptions horizontalCentered="1"/>
  <pageMargins left="0.2" right="0.2" top="0.75" bottom="0.75" header="0.3" footer="0.3"/>
  <pageSetup scale="75" fitToHeight="0" orientation="landscape" r:id="rId1"/>
  <headerFooter>
    <oddHeader xml:space="preserve">&amp;CDRAFT NOT FOR DISTRIBUTION, INTERNAL USE ONLY
</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N75"/>
  <sheetViews>
    <sheetView workbookViewId="0">
      <selection sqref="A1:N1"/>
    </sheetView>
  </sheetViews>
  <sheetFormatPr defaultColWidth="8.85546875" defaultRowHeight="14.85"/>
  <cols>
    <col min="1" max="1" width="39.5703125" style="354" customWidth="1"/>
    <col min="2" max="2" width="16" style="354" customWidth="1"/>
    <col min="3" max="3" width="7.7109375" style="380" customWidth="1"/>
    <col min="4" max="4" width="8.7109375" style="354" customWidth="1"/>
    <col min="5" max="5" width="10.7109375" style="354" customWidth="1"/>
    <col min="6" max="6" width="11" style="354" customWidth="1"/>
    <col min="7" max="7" width="9.5703125" style="354" customWidth="1"/>
    <col min="8" max="8" width="16.5703125" style="354" bestFit="1" customWidth="1"/>
    <col min="9" max="9" width="7.140625" style="354" customWidth="1"/>
    <col min="10" max="10" width="9.28515625" style="354" customWidth="1"/>
    <col min="11" max="11" width="7.7109375" style="354" customWidth="1"/>
    <col min="12" max="12" width="9.7109375" style="354" customWidth="1"/>
    <col min="13" max="13" width="9.140625" style="354" customWidth="1"/>
    <col min="14" max="14" width="38" style="354" customWidth="1"/>
    <col min="15" max="16384" width="8.85546875" style="354"/>
  </cols>
  <sheetData>
    <row r="1" spans="1:14" ht="15.6">
      <c r="A1" s="745" t="s">
        <v>227</v>
      </c>
      <c r="B1" s="745"/>
      <c r="C1" s="745"/>
      <c r="D1" s="745"/>
      <c r="E1" s="745"/>
      <c r="F1" s="745"/>
      <c r="G1" s="745"/>
      <c r="H1" s="745"/>
      <c r="I1" s="745"/>
      <c r="J1" s="745"/>
      <c r="K1" s="745"/>
      <c r="L1" s="745"/>
      <c r="M1" s="745"/>
      <c r="N1" s="745"/>
    </row>
    <row r="2" spans="1:14">
      <c r="A2" s="65" t="s">
        <v>466</v>
      </c>
      <c r="B2" s="381"/>
      <c r="C2" s="687"/>
      <c r="D2" s="381"/>
      <c r="E2" s="381"/>
      <c r="F2" s="381"/>
      <c r="G2" s="381"/>
      <c r="H2" s="381"/>
      <c r="I2" s="381"/>
      <c r="J2" s="381"/>
      <c r="K2" s="381"/>
      <c r="L2" s="381"/>
      <c r="M2" s="381"/>
      <c r="N2" s="381"/>
    </row>
    <row r="3" spans="1:14">
      <c r="A3" s="68" t="s">
        <v>467</v>
      </c>
      <c r="B3" s="381"/>
      <c r="C3" s="687"/>
      <c r="D3" s="381"/>
      <c r="E3" s="29"/>
      <c r="F3" s="29"/>
      <c r="G3" s="554" t="s">
        <v>275</v>
      </c>
      <c r="H3" s="29"/>
      <c r="I3" s="381"/>
      <c r="J3" s="381"/>
      <c r="K3" s="381"/>
      <c r="L3" s="381"/>
      <c r="M3" s="381"/>
      <c r="N3" s="381"/>
    </row>
    <row r="4" spans="1:14">
      <c r="A4" s="68" t="s">
        <v>404</v>
      </c>
      <c r="B4" s="31"/>
      <c r="C4" s="32"/>
      <c r="D4" s="31"/>
      <c r="E4" s="31"/>
      <c r="F4" s="381"/>
      <c r="G4" s="381"/>
      <c r="H4" s="381"/>
      <c r="I4" s="381"/>
      <c r="J4" s="381"/>
      <c r="K4" s="381"/>
      <c r="L4" s="381"/>
      <c r="M4" s="381"/>
      <c r="N4" s="381"/>
    </row>
    <row r="5" spans="1:14" ht="26">
      <c r="A5" s="33"/>
      <c r="B5" s="33" t="s">
        <v>277</v>
      </c>
      <c r="C5" s="1" t="s">
        <v>278</v>
      </c>
      <c r="D5" s="2" t="s">
        <v>350</v>
      </c>
      <c r="E5" s="34" t="s">
        <v>280</v>
      </c>
      <c r="F5" s="178" t="s">
        <v>282</v>
      </c>
      <c r="G5" s="178" t="s">
        <v>0</v>
      </c>
      <c r="H5" s="178" t="s">
        <v>1</v>
      </c>
      <c r="I5" s="178" t="s">
        <v>2</v>
      </c>
      <c r="J5" s="178" t="s">
        <v>3</v>
      </c>
      <c r="K5" s="178" t="s">
        <v>4</v>
      </c>
      <c r="L5" s="178" t="s">
        <v>34</v>
      </c>
      <c r="M5" s="2" t="s">
        <v>283</v>
      </c>
      <c r="N5" s="178" t="s">
        <v>284</v>
      </c>
    </row>
    <row r="6" spans="1:14">
      <c r="A6" s="69" t="s">
        <v>285</v>
      </c>
      <c r="B6" s="70"/>
      <c r="C6" s="71"/>
      <c r="D6" s="70"/>
      <c r="E6" s="70"/>
      <c r="F6" s="70"/>
      <c r="G6" s="70"/>
      <c r="H6" s="70"/>
      <c r="I6" s="70"/>
      <c r="J6" s="70"/>
      <c r="K6" s="70"/>
      <c r="L6" s="70"/>
      <c r="M6" s="70"/>
      <c r="N6" s="70"/>
    </row>
    <row r="7" spans="1:14">
      <c r="A7" s="36" t="s">
        <v>468</v>
      </c>
      <c r="B7" s="36" t="s">
        <v>469</v>
      </c>
      <c r="C7" s="37" t="s">
        <v>287</v>
      </c>
      <c r="D7" s="38">
        <v>1</v>
      </c>
      <c r="E7" s="163">
        <v>161</v>
      </c>
      <c r="F7" s="164">
        <f>SUM(G7:M7)</f>
        <v>166</v>
      </c>
      <c r="G7" s="165">
        <v>0</v>
      </c>
      <c r="H7" s="165">
        <v>0</v>
      </c>
      <c r="I7" s="165">
        <v>0</v>
      </c>
      <c r="J7" s="165">
        <v>166</v>
      </c>
      <c r="K7" s="165">
        <v>0</v>
      </c>
      <c r="L7" s="165">
        <v>0</v>
      </c>
      <c r="M7" s="166">
        <v>0</v>
      </c>
      <c r="N7" s="327" t="s">
        <v>470</v>
      </c>
    </row>
    <row r="8" spans="1:14" ht="15.05" customHeight="1">
      <c r="A8" s="36" t="s">
        <v>471</v>
      </c>
      <c r="B8" s="36" t="s">
        <v>472</v>
      </c>
      <c r="C8" s="37" t="s">
        <v>287</v>
      </c>
      <c r="D8" s="39">
        <v>1</v>
      </c>
      <c r="E8" s="163">
        <v>140</v>
      </c>
      <c r="F8" s="164">
        <f t="shared" ref="F8:F15" si="0">SUM(G8:M8)</f>
        <v>140</v>
      </c>
      <c r="G8" s="165">
        <v>0</v>
      </c>
      <c r="H8" s="165">
        <v>0</v>
      </c>
      <c r="I8" s="165">
        <v>0</v>
      </c>
      <c r="J8" s="165">
        <v>140</v>
      </c>
      <c r="K8" s="165">
        <v>0</v>
      </c>
      <c r="L8" s="165">
        <v>0</v>
      </c>
      <c r="M8" s="166">
        <v>0</v>
      </c>
      <c r="N8" s="327" t="s">
        <v>470</v>
      </c>
    </row>
    <row r="9" spans="1:14" s="381" customFormat="1" ht="74.25" customHeight="1">
      <c r="A9" s="36" t="s">
        <v>1198</v>
      </c>
      <c r="B9" s="264" t="s">
        <v>864</v>
      </c>
      <c r="C9" s="37" t="s">
        <v>287</v>
      </c>
      <c r="D9" s="39">
        <v>1</v>
      </c>
      <c r="E9" s="263">
        <v>0</v>
      </c>
      <c r="F9" s="309">
        <f t="shared" ref="F9" si="1">SUM(G9:M9)</f>
        <v>151</v>
      </c>
      <c r="G9" s="310">
        <v>0</v>
      </c>
      <c r="H9" s="310">
        <v>0</v>
      </c>
      <c r="I9" s="310">
        <v>0</v>
      </c>
      <c r="J9" s="310">
        <v>151</v>
      </c>
      <c r="K9" s="310">
        <f>134-134</f>
        <v>0</v>
      </c>
      <c r="L9" s="310">
        <v>0</v>
      </c>
      <c r="M9" s="311">
        <v>0</v>
      </c>
      <c r="N9" s="327" t="s">
        <v>1332</v>
      </c>
    </row>
    <row r="10" spans="1:14" ht="15.05" customHeight="1">
      <c r="A10" s="36" t="s">
        <v>286</v>
      </c>
      <c r="B10" s="264"/>
      <c r="C10" s="37" t="s">
        <v>287</v>
      </c>
      <c r="D10" s="39"/>
      <c r="E10" s="163">
        <v>0</v>
      </c>
      <c r="F10" s="164">
        <f t="shared" si="0"/>
        <v>0</v>
      </c>
      <c r="G10" s="165">
        <v>0</v>
      </c>
      <c r="H10" s="165">
        <v>0</v>
      </c>
      <c r="I10" s="165">
        <v>0</v>
      </c>
      <c r="J10" s="165">
        <v>0</v>
      </c>
      <c r="K10" s="165">
        <v>0</v>
      </c>
      <c r="L10" s="165">
        <v>0</v>
      </c>
      <c r="M10" s="166">
        <v>0</v>
      </c>
      <c r="N10" s="57"/>
    </row>
    <row r="11" spans="1:14" ht="15.05" customHeight="1">
      <c r="A11" s="36" t="s">
        <v>286</v>
      </c>
      <c r="B11" s="36"/>
      <c r="C11" s="37" t="s">
        <v>287</v>
      </c>
      <c r="D11" s="39"/>
      <c r="E11" s="163">
        <v>0</v>
      </c>
      <c r="F11" s="164">
        <f t="shared" si="0"/>
        <v>0</v>
      </c>
      <c r="G11" s="165">
        <v>0</v>
      </c>
      <c r="H11" s="165">
        <v>0</v>
      </c>
      <c r="I11" s="165">
        <v>0</v>
      </c>
      <c r="J11" s="165">
        <v>0</v>
      </c>
      <c r="K11" s="165">
        <v>0</v>
      </c>
      <c r="L11" s="165">
        <v>0</v>
      </c>
      <c r="M11" s="166">
        <v>0</v>
      </c>
      <c r="N11" s="57"/>
    </row>
    <row r="12" spans="1:14" ht="15.05" customHeight="1">
      <c r="A12" s="36" t="s">
        <v>286</v>
      </c>
      <c r="B12" s="264"/>
      <c r="C12" s="37" t="s">
        <v>287</v>
      </c>
      <c r="D12" s="39"/>
      <c r="E12" s="163">
        <v>0</v>
      </c>
      <c r="F12" s="164">
        <f t="shared" si="0"/>
        <v>0</v>
      </c>
      <c r="G12" s="165">
        <v>0</v>
      </c>
      <c r="H12" s="165">
        <v>0</v>
      </c>
      <c r="I12" s="165">
        <v>0</v>
      </c>
      <c r="J12" s="165">
        <v>0</v>
      </c>
      <c r="K12" s="165">
        <v>0</v>
      </c>
      <c r="L12" s="165">
        <v>0</v>
      </c>
      <c r="M12" s="166">
        <v>0</v>
      </c>
      <c r="N12" s="57"/>
    </row>
    <row r="13" spans="1:14">
      <c r="A13" s="36" t="s">
        <v>286</v>
      </c>
      <c r="B13" s="264"/>
      <c r="C13" s="37" t="s">
        <v>287</v>
      </c>
      <c r="D13" s="39"/>
      <c r="E13" s="163">
        <v>0</v>
      </c>
      <c r="F13" s="164">
        <f t="shared" si="0"/>
        <v>0</v>
      </c>
      <c r="G13" s="165">
        <v>0</v>
      </c>
      <c r="H13" s="165">
        <v>0</v>
      </c>
      <c r="I13" s="165">
        <v>0</v>
      </c>
      <c r="J13" s="165">
        <v>0</v>
      </c>
      <c r="K13" s="165">
        <v>0</v>
      </c>
      <c r="L13" s="165">
        <v>0</v>
      </c>
      <c r="M13" s="166">
        <v>0</v>
      </c>
      <c r="N13" s="57"/>
    </row>
    <row r="14" spans="1:14">
      <c r="A14" s="36" t="s">
        <v>286</v>
      </c>
      <c r="B14" s="264"/>
      <c r="C14" s="37" t="s">
        <v>287</v>
      </c>
      <c r="D14" s="39"/>
      <c r="E14" s="163">
        <v>0</v>
      </c>
      <c r="F14" s="164">
        <f t="shared" si="0"/>
        <v>0</v>
      </c>
      <c r="G14" s="165">
        <v>0</v>
      </c>
      <c r="H14" s="165">
        <v>0</v>
      </c>
      <c r="I14" s="165">
        <v>0</v>
      </c>
      <c r="J14" s="165">
        <v>0</v>
      </c>
      <c r="K14" s="165">
        <v>0</v>
      </c>
      <c r="L14" s="165">
        <v>0</v>
      </c>
      <c r="M14" s="166">
        <v>0</v>
      </c>
      <c r="N14" s="57"/>
    </row>
    <row r="15" spans="1:14">
      <c r="A15" s="36" t="s">
        <v>286</v>
      </c>
      <c r="B15" s="265"/>
      <c r="C15" s="37" t="s">
        <v>287</v>
      </c>
      <c r="D15" s="39"/>
      <c r="E15" s="163">
        <v>0</v>
      </c>
      <c r="F15" s="164">
        <f t="shared" si="0"/>
        <v>0</v>
      </c>
      <c r="G15" s="165">
        <v>0</v>
      </c>
      <c r="H15" s="165">
        <v>0</v>
      </c>
      <c r="I15" s="165">
        <v>0</v>
      </c>
      <c r="J15" s="165">
        <v>0</v>
      </c>
      <c r="K15" s="165">
        <v>0</v>
      </c>
      <c r="L15" s="165">
        <v>0</v>
      </c>
      <c r="M15" s="166">
        <v>0</v>
      </c>
      <c r="N15" s="57"/>
    </row>
    <row r="16" spans="1:14">
      <c r="A16" s="40" t="s">
        <v>288</v>
      </c>
      <c r="B16" s="265"/>
      <c r="C16" s="266"/>
      <c r="D16" s="41">
        <f t="shared" ref="D16:M16" si="2">SUM(D7:D15)</f>
        <v>3</v>
      </c>
      <c r="E16" s="43">
        <f t="shared" si="2"/>
        <v>301</v>
      </c>
      <c r="F16" s="43">
        <f t="shared" si="2"/>
        <v>457</v>
      </c>
      <c r="G16" s="43">
        <f t="shared" si="2"/>
        <v>0</v>
      </c>
      <c r="H16" s="43">
        <f t="shared" si="2"/>
        <v>0</v>
      </c>
      <c r="I16" s="43">
        <f t="shared" si="2"/>
        <v>0</v>
      </c>
      <c r="J16" s="43">
        <f t="shared" si="2"/>
        <v>457</v>
      </c>
      <c r="K16" s="43">
        <f t="shared" si="2"/>
        <v>0</v>
      </c>
      <c r="L16" s="43">
        <f t="shared" si="2"/>
        <v>0</v>
      </c>
      <c r="M16" s="43">
        <f t="shared" si="2"/>
        <v>0</v>
      </c>
      <c r="N16" s="254"/>
    </row>
    <row r="17" spans="1:14">
      <c r="A17" s="69" t="s">
        <v>289</v>
      </c>
      <c r="B17" s="70"/>
      <c r="C17" s="71"/>
      <c r="D17" s="70"/>
      <c r="E17" s="70"/>
      <c r="F17" s="70"/>
      <c r="G17" s="70"/>
      <c r="H17" s="70"/>
      <c r="I17" s="70"/>
      <c r="J17" s="70"/>
      <c r="K17" s="70"/>
      <c r="L17" s="70"/>
      <c r="M17" s="70"/>
      <c r="N17" s="70"/>
    </row>
    <row r="18" spans="1:14" ht="48.25" customHeight="1">
      <c r="A18" s="264" t="s">
        <v>355</v>
      </c>
      <c r="B18" s="264"/>
      <c r="C18" s="44">
        <v>253</v>
      </c>
      <c r="D18" s="45"/>
      <c r="E18" s="163">
        <v>0</v>
      </c>
      <c r="F18" s="262">
        <f>SUM(G18:M18)</f>
        <v>0</v>
      </c>
      <c r="G18" s="165">
        <v>0</v>
      </c>
      <c r="H18" s="165">
        <v>0</v>
      </c>
      <c r="I18" s="165">
        <v>0</v>
      </c>
      <c r="J18" s="165">
        <v>0</v>
      </c>
      <c r="K18" s="165">
        <v>0</v>
      </c>
      <c r="L18" s="165">
        <v>0</v>
      </c>
      <c r="M18" s="166">
        <v>0</v>
      </c>
      <c r="N18" s="382"/>
    </row>
    <row r="19" spans="1:14">
      <c r="A19" s="264" t="s">
        <v>355</v>
      </c>
      <c r="B19" s="264"/>
      <c r="C19" s="44">
        <v>253</v>
      </c>
      <c r="D19" s="45"/>
      <c r="E19" s="163">
        <v>0</v>
      </c>
      <c r="F19" s="167">
        <f>SUM(G19:M19)</f>
        <v>0</v>
      </c>
      <c r="G19" s="165">
        <v>0</v>
      </c>
      <c r="H19" s="165">
        <v>0</v>
      </c>
      <c r="I19" s="165">
        <v>0</v>
      </c>
      <c r="J19" s="165">
        <v>0</v>
      </c>
      <c r="K19" s="165">
        <v>0</v>
      </c>
      <c r="L19" s="165">
        <v>0</v>
      </c>
      <c r="M19" s="166">
        <v>0</v>
      </c>
      <c r="N19" s="382"/>
    </row>
    <row r="20" spans="1:14">
      <c r="A20" s="264" t="s">
        <v>355</v>
      </c>
      <c r="B20" s="264"/>
      <c r="C20" s="44">
        <v>253</v>
      </c>
      <c r="D20" s="267"/>
      <c r="E20" s="163">
        <v>0</v>
      </c>
      <c r="F20" s="167">
        <f>SUM(G20:M20)</f>
        <v>0</v>
      </c>
      <c r="G20" s="165">
        <v>0</v>
      </c>
      <c r="H20" s="165">
        <v>0</v>
      </c>
      <c r="I20" s="165">
        <v>0</v>
      </c>
      <c r="J20" s="165">
        <v>0</v>
      </c>
      <c r="K20" s="165">
        <v>0</v>
      </c>
      <c r="L20" s="165">
        <v>0</v>
      </c>
      <c r="M20" s="166">
        <v>0</v>
      </c>
      <c r="N20" s="57"/>
    </row>
    <row r="21" spans="1:14" s="358" customFormat="1">
      <c r="A21" s="264" t="s">
        <v>355</v>
      </c>
      <c r="B21" s="264"/>
      <c r="C21" s="44">
        <v>253</v>
      </c>
      <c r="D21" s="267"/>
      <c r="E21" s="163">
        <v>0</v>
      </c>
      <c r="F21" s="167">
        <f>SUM(G21:M21)</f>
        <v>0</v>
      </c>
      <c r="G21" s="165">
        <v>0</v>
      </c>
      <c r="H21" s="165">
        <v>0</v>
      </c>
      <c r="I21" s="165">
        <v>0</v>
      </c>
      <c r="J21" s="165">
        <v>0</v>
      </c>
      <c r="K21" s="165">
        <v>0</v>
      </c>
      <c r="L21" s="165">
        <v>0</v>
      </c>
      <c r="M21" s="166">
        <v>0</v>
      </c>
      <c r="N21" s="36"/>
    </row>
    <row r="22" spans="1:14">
      <c r="A22" s="40" t="s">
        <v>294</v>
      </c>
      <c r="B22" s="265"/>
      <c r="C22" s="266"/>
      <c r="D22" s="267">
        <f>SUM(D18:D21)</f>
        <v>0</v>
      </c>
      <c r="E22" s="42">
        <f>SUM(E18:E21)</f>
        <v>0</v>
      </c>
      <c r="F22" s="43">
        <f>SUM(F18:F21)</f>
        <v>0</v>
      </c>
      <c r="G22" s="43">
        <f t="shared" ref="G22:M22" si="3">SUM(G18:G21)</f>
        <v>0</v>
      </c>
      <c r="H22" s="43">
        <f t="shared" si="3"/>
        <v>0</v>
      </c>
      <c r="I22" s="43">
        <f t="shared" si="3"/>
        <v>0</v>
      </c>
      <c r="J22" s="43">
        <f t="shared" si="3"/>
        <v>0</v>
      </c>
      <c r="K22" s="43">
        <f t="shared" si="3"/>
        <v>0</v>
      </c>
      <c r="L22" s="43">
        <f t="shared" si="3"/>
        <v>0</v>
      </c>
      <c r="M22" s="43">
        <f t="shared" si="3"/>
        <v>0</v>
      </c>
      <c r="N22" s="57"/>
    </row>
    <row r="23" spans="1:14" s="358" customFormat="1">
      <c r="A23" s="127" t="s">
        <v>356</v>
      </c>
      <c r="B23" s="128"/>
      <c r="C23" s="128"/>
      <c r="D23" s="128"/>
      <c r="E23" s="128"/>
      <c r="F23" s="128"/>
      <c r="G23" s="128"/>
      <c r="H23" s="128"/>
      <c r="I23" s="128"/>
      <c r="J23" s="128"/>
      <c r="K23" s="128"/>
      <c r="L23" s="128"/>
      <c r="M23" s="128"/>
      <c r="N23" s="168"/>
    </row>
    <row r="24" spans="1:14" ht="15.05" customHeight="1">
      <c r="A24" s="264" t="s">
        <v>296</v>
      </c>
      <c r="B24" s="36"/>
      <c r="C24" s="37" t="s">
        <v>297</v>
      </c>
      <c r="D24" s="38">
        <v>0</v>
      </c>
      <c r="E24" s="163">
        <v>15</v>
      </c>
      <c r="F24" s="171">
        <f>SUM(G24:M24)</f>
        <v>15</v>
      </c>
      <c r="G24" s="165">
        <v>0</v>
      </c>
      <c r="H24" s="165">
        <v>0</v>
      </c>
      <c r="I24" s="165">
        <v>0</v>
      </c>
      <c r="J24" s="165">
        <v>15</v>
      </c>
      <c r="K24" s="165">
        <v>0</v>
      </c>
      <c r="L24" s="165">
        <v>0</v>
      </c>
      <c r="M24" s="166">
        <v>0</v>
      </c>
      <c r="N24" s="325" t="s">
        <v>473</v>
      </c>
    </row>
    <row r="25" spans="1:14">
      <c r="A25" s="264" t="s">
        <v>298</v>
      </c>
      <c r="B25" s="36"/>
      <c r="C25" s="44" t="s">
        <v>299</v>
      </c>
      <c r="D25" s="45"/>
      <c r="E25" s="163">
        <v>0</v>
      </c>
      <c r="F25" s="164">
        <v>0</v>
      </c>
      <c r="G25" s="165">
        <v>0</v>
      </c>
      <c r="H25" s="165">
        <v>0</v>
      </c>
      <c r="I25" s="165">
        <v>0</v>
      </c>
      <c r="J25" s="165">
        <v>0</v>
      </c>
      <c r="K25" s="165">
        <v>0</v>
      </c>
      <c r="L25" s="165">
        <v>0</v>
      </c>
      <c r="M25" s="166">
        <v>0</v>
      </c>
      <c r="N25" s="57"/>
    </row>
    <row r="26" spans="1:14">
      <c r="A26" s="264" t="s">
        <v>300</v>
      </c>
      <c r="B26" s="36"/>
      <c r="C26" s="44" t="s">
        <v>301</v>
      </c>
      <c r="D26" s="45"/>
      <c r="E26" s="163">
        <v>0</v>
      </c>
      <c r="F26" s="164">
        <v>0</v>
      </c>
      <c r="G26" s="165">
        <v>0</v>
      </c>
      <c r="H26" s="165">
        <v>0</v>
      </c>
      <c r="I26" s="165">
        <v>0</v>
      </c>
      <c r="J26" s="165">
        <v>0</v>
      </c>
      <c r="K26" s="165">
        <v>0</v>
      </c>
      <c r="L26" s="165">
        <v>0</v>
      </c>
      <c r="M26" s="166">
        <v>0</v>
      </c>
      <c r="N26" s="57"/>
    </row>
    <row r="27" spans="1:14">
      <c r="A27" s="264" t="s">
        <v>302</v>
      </c>
      <c r="B27" s="36"/>
      <c r="C27" s="44" t="s">
        <v>303</v>
      </c>
      <c r="D27" s="45"/>
      <c r="E27" s="163">
        <v>0</v>
      </c>
      <c r="F27" s="164">
        <v>0</v>
      </c>
      <c r="G27" s="165">
        <v>0</v>
      </c>
      <c r="H27" s="165">
        <v>0</v>
      </c>
      <c r="I27" s="165">
        <v>0</v>
      </c>
      <c r="J27" s="165">
        <v>0</v>
      </c>
      <c r="K27" s="165">
        <v>0</v>
      </c>
      <c r="L27" s="165">
        <v>0</v>
      </c>
      <c r="M27" s="166">
        <v>0</v>
      </c>
      <c r="N27" s="57"/>
    </row>
    <row r="28" spans="1:14">
      <c r="A28" s="264" t="s">
        <v>304</v>
      </c>
      <c r="B28" s="36"/>
      <c r="C28" s="44">
        <v>251</v>
      </c>
      <c r="D28" s="45"/>
      <c r="E28" s="163">
        <v>0</v>
      </c>
      <c r="F28" s="164">
        <v>0</v>
      </c>
      <c r="G28" s="165">
        <v>0</v>
      </c>
      <c r="H28" s="165">
        <v>0</v>
      </c>
      <c r="I28" s="165">
        <v>0</v>
      </c>
      <c r="J28" s="165">
        <v>0</v>
      </c>
      <c r="K28" s="165">
        <v>0</v>
      </c>
      <c r="L28" s="165">
        <v>0</v>
      </c>
      <c r="M28" s="166">
        <v>0</v>
      </c>
      <c r="N28" s="57"/>
    </row>
    <row r="29" spans="1:14" ht="63.1">
      <c r="A29" s="96" t="s">
        <v>313</v>
      </c>
      <c r="B29" s="97"/>
      <c r="C29" s="98">
        <v>252</v>
      </c>
      <c r="D29" s="99"/>
      <c r="E29" s="170">
        <v>22</v>
      </c>
      <c r="F29" s="171">
        <f>SUM(G29:M29)</f>
        <v>22</v>
      </c>
      <c r="G29" s="172">
        <v>0</v>
      </c>
      <c r="H29" s="172">
        <v>0</v>
      </c>
      <c r="I29" s="172">
        <v>0</v>
      </c>
      <c r="J29" s="172">
        <v>0</v>
      </c>
      <c r="K29" s="172">
        <v>0</v>
      </c>
      <c r="L29" s="172">
        <v>22</v>
      </c>
      <c r="M29" s="173">
        <v>0</v>
      </c>
      <c r="N29" s="174" t="s">
        <v>474</v>
      </c>
    </row>
    <row r="30" spans="1:14" s="381" customFormat="1">
      <c r="A30" s="96" t="s">
        <v>313</v>
      </c>
      <c r="B30" s="97"/>
      <c r="C30" s="98">
        <v>252</v>
      </c>
      <c r="D30" s="99"/>
      <c r="E30" s="170">
        <v>25</v>
      </c>
      <c r="F30" s="171">
        <f>SUM(G30:M30)</f>
        <v>25</v>
      </c>
      <c r="G30" s="172">
        <v>0</v>
      </c>
      <c r="H30" s="172">
        <v>0</v>
      </c>
      <c r="I30" s="172">
        <v>0</v>
      </c>
      <c r="J30" s="172">
        <v>0</v>
      </c>
      <c r="K30" s="172">
        <v>0</v>
      </c>
      <c r="L30" s="172">
        <v>25</v>
      </c>
      <c r="M30" s="173">
        <v>0</v>
      </c>
      <c r="N30" s="174" t="s">
        <v>475</v>
      </c>
    </row>
    <row r="31" spans="1:14">
      <c r="A31" s="264" t="s">
        <v>314</v>
      </c>
      <c r="B31" s="36"/>
      <c r="C31" s="44">
        <v>252</v>
      </c>
      <c r="D31" s="45"/>
      <c r="E31" s="163">
        <v>0</v>
      </c>
      <c r="F31" s="164">
        <v>0</v>
      </c>
      <c r="G31" s="165">
        <v>0</v>
      </c>
      <c r="H31" s="165">
        <v>0</v>
      </c>
      <c r="I31" s="165">
        <v>0</v>
      </c>
      <c r="J31" s="165">
        <v>0</v>
      </c>
      <c r="K31" s="165">
        <v>0</v>
      </c>
      <c r="L31" s="165">
        <v>0</v>
      </c>
      <c r="M31" s="166">
        <v>0</v>
      </c>
      <c r="N31" s="57"/>
    </row>
    <row r="32" spans="1:14">
      <c r="A32" s="264" t="s">
        <v>315</v>
      </c>
      <c r="B32" s="36"/>
      <c r="C32" s="44">
        <v>253</v>
      </c>
      <c r="D32" s="264"/>
      <c r="E32" s="163">
        <v>0</v>
      </c>
      <c r="F32" s="164">
        <v>0</v>
      </c>
      <c r="G32" s="165">
        <v>0</v>
      </c>
      <c r="H32" s="165">
        <v>0</v>
      </c>
      <c r="I32" s="165">
        <v>0</v>
      </c>
      <c r="J32" s="165">
        <v>0</v>
      </c>
      <c r="K32" s="165">
        <v>0</v>
      </c>
      <c r="L32" s="165">
        <v>0</v>
      </c>
      <c r="M32" s="166">
        <v>0</v>
      </c>
      <c r="N32" s="57"/>
    </row>
    <row r="33" spans="1:14">
      <c r="A33" s="264" t="s">
        <v>316</v>
      </c>
      <c r="B33" s="36"/>
      <c r="C33" s="44">
        <v>255</v>
      </c>
      <c r="D33" s="264"/>
      <c r="E33" s="163">
        <v>0</v>
      </c>
      <c r="F33" s="164">
        <v>0</v>
      </c>
      <c r="G33" s="165">
        <v>0</v>
      </c>
      <c r="H33" s="165">
        <v>0</v>
      </c>
      <c r="I33" s="165">
        <v>0</v>
      </c>
      <c r="J33" s="165">
        <v>0</v>
      </c>
      <c r="K33" s="165">
        <v>0</v>
      </c>
      <c r="L33" s="165">
        <v>0</v>
      </c>
      <c r="M33" s="166">
        <v>0</v>
      </c>
      <c r="N33" s="57"/>
    </row>
    <row r="34" spans="1:14">
      <c r="A34" s="264" t="s">
        <v>317</v>
      </c>
      <c r="B34" s="36"/>
      <c r="C34" s="44">
        <v>256</v>
      </c>
      <c r="D34" s="264"/>
      <c r="E34" s="163">
        <v>0</v>
      </c>
      <c r="F34" s="164">
        <v>0</v>
      </c>
      <c r="G34" s="165">
        <v>0</v>
      </c>
      <c r="H34" s="165">
        <v>0</v>
      </c>
      <c r="I34" s="165">
        <v>0</v>
      </c>
      <c r="J34" s="165">
        <v>0</v>
      </c>
      <c r="K34" s="165">
        <v>0</v>
      </c>
      <c r="L34" s="165">
        <v>0</v>
      </c>
      <c r="M34" s="166">
        <v>0</v>
      </c>
      <c r="N34" s="57"/>
    </row>
    <row r="35" spans="1:14">
      <c r="A35" s="264" t="s">
        <v>318</v>
      </c>
      <c r="B35" s="36"/>
      <c r="C35" s="44">
        <v>257</v>
      </c>
      <c r="D35" s="264"/>
      <c r="E35" s="163">
        <v>0</v>
      </c>
      <c r="F35" s="164">
        <v>0</v>
      </c>
      <c r="G35" s="165">
        <v>0</v>
      </c>
      <c r="H35" s="165">
        <v>0</v>
      </c>
      <c r="I35" s="165">
        <v>0</v>
      </c>
      <c r="J35" s="165">
        <v>0</v>
      </c>
      <c r="K35" s="165">
        <v>0</v>
      </c>
      <c r="L35" s="165">
        <v>0</v>
      </c>
      <c r="M35" s="166">
        <v>0</v>
      </c>
      <c r="N35" s="57"/>
    </row>
    <row r="36" spans="1:14" ht="29.7">
      <c r="A36" s="264" t="s">
        <v>319</v>
      </c>
      <c r="B36" s="36"/>
      <c r="C36" s="44" t="s">
        <v>320</v>
      </c>
      <c r="D36" s="264"/>
      <c r="E36" s="163">
        <v>4</v>
      </c>
      <c r="F36" s="171">
        <f t="shared" ref="F36:F37" si="4">SUM(G36:M36)</f>
        <v>4</v>
      </c>
      <c r="G36" s="165">
        <v>0</v>
      </c>
      <c r="H36" s="165">
        <v>0</v>
      </c>
      <c r="I36" s="165">
        <v>0</v>
      </c>
      <c r="J36" s="165">
        <v>4</v>
      </c>
      <c r="K36" s="165">
        <v>0</v>
      </c>
      <c r="L36" s="165">
        <v>0</v>
      </c>
      <c r="M36" s="166">
        <v>0</v>
      </c>
      <c r="N36" s="325" t="s">
        <v>476</v>
      </c>
    </row>
    <row r="37" spans="1:14" ht="29.7">
      <c r="A37" s="265" t="s">
        <v>321</v>
      </c>
      <c r="B37" s="36"/>
      <c r="C37" s="266" t="s">
        <v>322</v>
      </c>
      <c r="D37" s="265"/>
      <c r="E37" s="163">
        <v>4</v>
      </c>
      <c r="F37" s="171">
        <f t="shared" si="4"/>
        <v>4</v>
      </c>
      <c r="G37" s="165">
        <v>0</v>
      </c>
      <c r="H37" s="165">
        <v>0</v>
      </c>
      <c r="I37" s="165">
        <v>0</v>
      </c>
      <c r="J37" s="165">
        <v>4</v>
      </c>
      <c r="K37" s="165">
        <v>0</v>
      </c>
      <c r="L37" s="165">
        <v>0</v>
      </c>
      <c r="M37" s="166">
        <v>0</v>
      </c>
      <c r="N37" s="325" t="s">
        <v>477</v>
      </c>
    </row>
    <row r="38" spans="1:14" s="381" customFormat="1" ht="26">
      <c r="A38" s="265" t="s">
        <v>323</v>
      </c>
      <c r="B38" s="390"/>
      <c r="C38" s="266" t="s">
        <v>324</v>
      </c>
      <c r="D38" s="265"/>
      <c r="E38" s="318">
        <v>0</v>
      </c>
      <c r="F38" s="309">
        <f>SUM(G38:M38)</f>
        <v>0</v>
      </c>
      <c r="G38" s="165">
        <v>0</v>
      </c>
      <c r="H38" s="165">
        <v>0</v>
      </c>
      <c r="I38" s="165">
        <v>0</v>
      </c>
      <c r="J38" s="165">
        <f>-5+5</f>
        <v>0</v>
      </c>
      <c r="K38" s="165">
        <v>0</v>
      </c>
      <c r="L38" s="165">
        <v>0</v>
      </c>
      <c r="M38" s="166">
        <v>0</v>
      </c>
      <c r="N38" s="169" t="s">
        <v>478</v>
      </c>
    </row>
    <row r="39" spans="1:14">
      <c r="A39" s="40" t="s">
        <v>326</v>
      </c>
      <c r="B39" s="265"/>
      <c r="C39" s="266"/>
      <c r="D39" s="267"/>
      <c r="E39" s="42">
        <f>SUM(E24:E38)</f>
        <v>70</v>
      </c>
      <c r="F39" s="43">
        <f>SUM(F24:F38)</f>
        <v>70</v>
      </c>
      <c r="G39" s="43">
        <f>SUM(G24:G38)</f>
        <v>0</v>
      </c>
      <c r="H39" s="43">
        <f t="shared" ref="H39:M39" si="5">SUM(H24:H38)</f>
        <v>0</v>
      </c>
      <c r="I39" s="43">
        <f t="shared" si="5"/>
        <v>0</v>
      </c>
      <c r="J39" s="43">
        <f t="shared" si="5"/>
        <v>23</v>
      </c>
      <c r="K39" s="43">
        <f t="shared" si="5"/>
        <v>0</v>
      </c>
      <c r="L39" s="43">
        <f t="shared" si="5"/>
        <v>47</v>
      </c>
      <c r="M39" s="43">
        <f t="shared" si="5"/>
        <v>0</v>
      </c>
      <c r="N39" s="57"/>
    </row>
    <row r="40" spans="1:14" ht="29.7">
      <c r="A40" s="40" t="s">
        <v>327</v>
      </c>
      <c r="B40" s="51"/>
      <c r="C40" s="149"/>
      <c r="D40" s="267"/>
      <c r="E40" s="42">
        <v>0</v>
      </c>
      <c r="F40" s="240">
        <f>SUM(G40:L40)</f>
        <v>26</v>
      </c>
      <c r="G40" s="240"/>
      <c r="H40" s="240"/>
      <c r="I40" s="240"/>
      <c r="J40" s="240"/>
      <c r="K40" s="240"/>
      <c r="L40" s="240">
        <v>26</v>
      </c>
      <c r="M40" s="240"/>
      <c r="N40" s="325" t="s">
        <v>479</v>
      </c>
    </row>
    <row r="41" spans="1:14">
      <c r="A41" s="40" t="s">
        <v>328</v>
      </c>
      <c r="B41" s="46"/>
      <c r="C41" s="47"/>
      <c r="D41" s="177">
        <f>D39+D22+D16</f>
        <v>3</v>
      </c>
      <c r="E41" s="42">
        <f>+E39+E22+E16</f>
        <v>371</v>
      </c>
      <c r="F41" s="175">
        <f t="shared" ref="F41:M41" si="6">F39+F22+F16-F40</f>
        <v>501</v>
      </c>
      <c r="G41" s="175">
        <f t="shared" si="6"/>
        <v>0</v>
      </c>
      <c r="H41" s="175">
        <f t="shared" si="6"/>
        <v>0</v>
      </c>
      <c r="I41" s="175">
        <f t="shared" si="6"/>
        <v>0</v>
      </c>
      <c r="J41" s="175">
        <f t="shared" si="6"/>
        <v>480</v>
      </c>
      <c r="K41" s="175">
        <f t="shared" si="6"/>
        <v>0</v>
      </c>
      <c r="L41" s="175">
        <f t="shared" si="6"/>
        <v>21</v>
      </c>
      <c r="M41" s="175">
        <f t="shared" si="6"/>
        <v>0</v>
      </c>
      <c r="N41" s="176"/>
    </row>
    <row r="42" spans="1:14" s="381" customFormat="1">
      <c r="A42" s="56"/>
      <c r="C42" s="687"/>
      <c r="E42" s="262"/>
      <c r="H42" s="287"/>
    </row>
    <row r="44" spans="1:14" s="381" customFormat="1" ht="15.6" thickBot="1">
      <c r="A44" s="31"/>
      <c r="B44" s="31"/>
      <c r="C44" s="32"/>
      <c r="D44" s="31"/>
      <c r="E44" s="31"/>
      <c r="F44" s="31"/>
      <c r="G44" s="31"/>
      <c r="H44" s="31"/>
      <c r="I44" s="31"/>
      <c r="J44" s="31"/>
      <c r="K44" s="31"/>
      <c r="L44" s="31"/>
      <c r="M44" s="31"/>
      <c r="N44" s="562"/>
    </row>
    <row r="45" spans="1:14" s="381" customFormat="1" ht="15.6">
      <c r="A45" s="764" t="s">
        <v>330</v>
      </c>
      <c r="B45" s="765"/>
      <c r="C45" s="765"/>
      <c r="D45" s="765"/>
      <c r="E45" s="765"/>
      <c r="F45" s="765"/>
      <c r="G45" s="581"/>
      <c r="H45" s="31"/>
      <c r="I45" s="31"/>
      <c r="J45" s="31"/>
      <c r="K45" s="31"/>
      <c r="L45" s="31"/>
      <c r="M45" s="31"/>
      <c r="N45" s="562"/>
    </row>
    <row r="46" spans="1:14" s="381" customFormat="1" ht="15.6">
      <c r="A46" s="738"/>
      <c r="B46" s="739"/>
      <c r="C46" s="739"/>
      <c r="D46" s="739"/>
      <c r="E46" s="739"/>
      <c r="F46" s="739"/>
      <c r="G46" s="582"/>
      <c r="H46" s="31"/>
      <c r="I46" s="31"/>
      <c r="J46" s="31"/>
      <c r="K46" s="31"/>
      <c r="L46" s="31"/>
      <c r="M46" s="31"/>
      <c r="N46" s="562"/>
    </row>
    <row r="47" spans="1:14" s="381" customFormat="1">
      <c r="A47" s="740" t="s">
        <v>331</v>
      </c>
      <c r="B47" s="741"/>
      <c r="C47" s="583"/>
      <c r="D47" s="583"/>
      <c r="E47" s="583"/>
      <c r="F47" s="583"/>
      <c r="G47" s="582"/>
      <c r="H47" s="31"/>
      <c r="I47" s="31"/>
      <c r="J47" s="31"/>
      <c r="K47" s="31"/>
      <c r="L47" s="31"/>
      <c r="M47" s="31"/>
      <c r="N47" s="562"/>
    </row>
    <row r="48" spans="1:14" s="381" customFormat="1">
      <c r="A48" s="584" t="s">
        <v>480</v>
      </c>
      <c r="B48" s="585">
        <f>+E41</f>
        <v>371</v>
      </c>
      <c r="C48" s="586"/>
      <c r="D48" s="587"/>
      <c r="E48" s="587"/>
      <c r="F48" s="587"/>
      <c r="G48" s="582"/>
      <c r="H48" s="31"/>
      <c r="I48" s="31"/>
      <c r="J48" s="31"/>
      <c r="K48" s="31"/>
      <c r="L48" s="31"/>
      <c r="M48" s="31"/>
      <c r="N48" s="562"/>
    </row>
    <row r="49" spans="1:14" s="381" customFormat="1">
      <c r="A49" s="588" t="s">
        <v>481</v>
      </c>
      <c r="B49" s="589">
        <f>+F41</f>
        <v>501</v>
      </c>
      <c r="C49" s="586"/>
      <c r="D49" s="587"/>
      <c r="E49" s="587"/>
      <c r="F49" s="587"/>
      <c r="G49" s="582"/>
      <c r="H49" s="31"/>
      <c r="I49" s="31"/>
      <c r="J49" s="31"/>
      <c r="K49" s="31"/>
      <c r="L49" s="31"/>
      <c r="M49" s="31"/>
      <c r="N49" s="562"/>
    </row>
    <row r="50" spans="1:14" s="381" customFormat="1">
      <c r="A50" s="590" t="s">
        <v>334</v>
      </c>
      <c r="B50" s="591">
        <f>+B49-B48</f>
        <v>130</v>
      </c>
      <c r="C50" s="586"/>
      <c r="D50" s="587"/>
      <c r="E50" s="587"/>
      <c r="F50" s="587"/>
      <c r="G50" s="582"/>
      <c r="H50" s="31"/>
      <c r="I50" s="31"/>
      <c r="J50" s="31"/>
      <c r="K50" s="31"/>
      <c r="L50" s="31"/>
      <c r="M50" s="31"/>
      <c r="N50" s="562"/>
    </row>
    <row r="51" spans="1:14" s="381" customFormat="1">
      <c r="A51" s="590" t="s">
        <v>335</v>
      </c>
      <c r="B51" s="592">
        <f>+B50/B48</f>
        <v>0.35040431266846361</v>
      </c>
      <c r="C51" s="586"/>
      <c r="D51" s="587"/>
      <c r="E51" s="587"/>
      <c r="F51" s="587"/>
      <c r="G51" s="582"/>
      <c r="H51" s="31"/>
      <c r="I51" s="31"/>
      <c r="J51" s="31"/>
      <c r="K51" s="31"/>
      <c r="L51" s="31"/>
      <c r="M51" s="31"/>
      <c r="N51" s="562"/>
    </row>
    <row r="52" spans="1:14" s="381" customFormat="1">
      <c r="A52" s="593"/>
      <c r="B52" s="587"/>
      <c r="C52" s="686"/>
      <c r="D52" s="587"/>
      <c r="E52" s="587"/>
      <c r="F52" s="587"/>
      <c r="G52" s="582"/>
      <c r="H52" s="31"/>
      <c r="I52" s="31"/>
      <c r="J52" s="31"/>
      <c r="K52" s="31"/>
      <c r="L52" s="31"/>
      <c r="M52" s="31"/>
      <c r="N52" s="562"/>
    </row>
    <row r="53" spans="1:14" s="381" customFormat="1">
      <c r="A53" s="731" t="s">
        <v>336</v>
      </c>
      <c r="B53" s="732"/>
      <c r="C53" s="732"/>
      <c r="D53" s="732"/>
      <c r="E53" s="732"/>
      <c r="F53" s="732"/>
      <c r="G53" s="582"/>
      <c r="H53" s="31"/>
      <c r="I53" s="31"/>
      <c r="J53" s="31"/>
      <c r="K53" s="31"/>
      <c r="L53" s="31"/>
      <c r="M53" s="31"/>
      <c r="N53" s="562"/>
    </row>
    <row r="54" spans="1:14" s="381" customFormat="1">
      <c r="A54" s="742"/>
      <c r="B54" s="743"/>
      <c r="C54" s="743"/>
      <c r="D54" s="743"/>
      <c r="E54" s="743"/>
      <c r="F54" s="744"/>
      <c r="G54" s="582"/>
      <c r="H54" s="31"/>
      <c r="I54" s="31"/>
      <c r="J54" s="31"/>
      <c r="K54" s="31"/>
      <c r="L54" s="31"/>
      <c r="M54" s="31"/>
      <c r="N54" s="562"/>
    </row>
    <row r="55" spans="1:14" s="381" customFormat="1">
      <c r="A55" s="594"/>
      <c r="B55" s="595"/>
      <c r="C55" s="595"/>
      <c r="D55" s="595"/>
      <c r="E55" s="595"/>
      <c r="F55" s="595"/>
      <c r="G55" s="582"/>
      <c r="H55" s="31"/>
      <c r="I55" s="31"/>
      <c r="J55" s="31"/>
      <c r="K55" s="31"/>
      <c r="L55" s="31"/>
      <c r="M55" s="31"/>
      <c r="N55" s="562"/>
    </row>
    <row r="56" spans="1:14" s="381" customFormat="1">
      <c r="A56" s="596" t="s">
        <v>337</v>
      </c>
      <c r="B56" s="587"/>
      <c r="C56" s="686"/>
      <c r="D56" s="587"/>
      <c r="E56" s="587"/>
      <c r="F56" s="587"/>
      <c r="G56" s="582"/>
      <c r="H56" s="31"/>
      <c r="I56" s="31"/>
      <c r="J56" s="31"/>
      <c r="K56" s="31"/>
      <c r="L56" s="31"/>
      <c r="M56" s="31"/>
      <c r="N56" s="562"/>
    </row>
    <row r="57" spans="1:14" s="381" customFormat="1">
      <c r="A57" s="735"/>
      <c r="B57" s="736"/>
      <c r="C57" s="736"/>
      <c r="D57" s="736"/>
      <c r="E57" s="736"/>
      <c r="F57" s="737"/>
      <c r="G57" s="582"/>
      <c r="H57" s="31"/>
      <c r="I57" s="31"/>
      <c r="J57" s="31"/>
      <c r="K57" s="31"/>
      <c r="L57" s="31"/>
      <c r="M57" s="31"/>
      <c r="N57" s="562"/>
    </row>
    <row r="58" spans="1:14" s="381" customFormat="1">
      <c r="A58" s="593"/>
      <c r="B58" s="587"/>
      <c r="C58" s="686"/>
      <c r="D58" s="587"/>
      <c r="E58" s="587"/>
      <c r="F58" s="587"/>
      <c r="G58" s="582"/>
      <c r="H58" s="31"/>
      <c r="I58" s="31"/>
      <c r="J58" s="31"/>
      <c r="K58" s="31"/>
      <c r="L58" s="31"/>
      <c r="M58" s="31"/>
      <c r="N58" s="562"/>
    </row>
    <row r="59" spans="1:14" s="381" customFormat="1">
      <c r="A59" s="731" t="s">
        <v>338</v>
      </c>
      <c r="B59" s="732"/>
      <c r="C59" s="732"/>
      <c r="D59" s="732"/>
      <c r="E59" s="732"/>
      <c r="F59" s="732"/>
      <c r="G59" s="582"/>
      <c r="H59" s="31"/>
      <c r="I59" s="31"/>
      <c r="J59" s="31"/>
      <c r="K59" s="31"/>
      <c r="L59" s="31"/>
      <c r="M59" s="31"/>
      <c r="N59" s="562"/>
    </row>
    <row r="60" spans="1:14" s="381" customFormat="1">
      <c r="A60" s="733" t="s">
        <v>339</v>
      </c>
      <c r="B60" s="734"/>
      <c r="C60" s="734"/>
      <c r="D60" s="734"/>
      <c r="E60" s="734"/>
      <c r="F60" s="734"/>
      <c r="G60" s="582"/>
      <c r="H60" s="31"/>
      <c r="I60" s="31"/>
      <c r="J60" s="31"/>
      <c r="K60" s="31"/>
      <c r="L60" s="31"/>
      <c r="M60" s="31"/>
      <c r="N60" s="562"/>
    </row>
    <row r="61" spans="1:14" s="381" customFormat="1">
      <c r="A61" s="735"/>
      <c r="B61" s="736"/>
      <c r="C61" s="736"/>
      <c r="D61" s="736"/>
      <c r="E61" s="736"/>
      <c r="F61" s="737"/>
      <c r="G61" s="582"/>
      <c r="H61" s="31"/>
      <c r="I61" s="31"/>
      <c r="J61" s="31"/>
      <c r="K61" s="31"/>
      <c r="L61" s="31"/>
      <c r="M61" s="31"/>
      <c r="N61" s="562"/>
    </row>
    <row r="62" spans="1:14" s="381" customFormat="1">
      <c r="A62" s="596"/>
      <c r="B62" s="587"/>
      <c r="C62" s="686"/>
      <c r="D62" s="587"/>
      <c r="E62" s="587"/>
      <c r="F62" s="587"/>
      <c r="G62" s="582"/>
      <c r="H62" s="31"/>
      <c r="I62" s="31"/>
      <c r="J62" s="31"/>
      <c r="K62" s="31"/>
      <c r="L62" s="31"/>
      <c r="M62" s="31"/>
      <c r="N62" s="562"/>
    </row>
    <row r="63" spans="1:14" s="381" customFormat="1">
      <c r="A63" s="731" t="s">
        <v>340</v>
      </c>
      <c r="B63" s="732"/>
      <c r="C63" s="732"/>
      <c r="D63" s="732"/>
      <c r="E63" s="732"/>
      <c r="F63" s="587"/>
      <c r="G63" s="582"/>
      <c r="H63" s="31"/>
      <c r="I63" s="31"/>
      <c r="J63" s="31"/>
      <c r="K63" s="31"/>
      <c r="L63" s="31"/>
      <c r="M63" s="31"/>
      <c r="N63" s="562"/>
    </row>
    <row r="64" spans="1:14" s="381" customFormat="1">
      <c r="A64" s="728"/>
      <c r="B64" s="729"/>
      <c r="C64" s="729"/>
      <c r="D64" s="729"/>
      <c r="E64" s="729"/>
      <c r="F64" s="730"/>
      <c r="G64" s="582"/>
      <c r="H64" s="31"/>
      <c r="I64" s="31"/>
      <c r="J64" s="31"/>
      <c r="K64" s="31"/>
      <c r="L64" s="31"/>
      <c r="M64" s="31"/>
      <c r="N64" s="562"/>
    </row>
    <row r="65" spans="1:14" s="381" customFormat="1">
      <c r="A65" s="593"/>
      <c r="B65" s="587"/>
      <c r="C65" s="686"/>
      <c r="D65" s="587"/>
      <c r="E65" s="587"/>
      <c r="F65" s="587"/>
      <c r="G65" s="582"/>
      <c r="H65" s="31"/>
      <c r="I65" s="31"/>
      <c r="J65" s="31"/>
      <c r="K65" s="31"/>
      <c r="L65" s="31"/>
      <c r="M65" s="31"/>
      <c r="N65" s="562"/>
    </row>
    <row r="66" spans="1:14" s="381" customFormat="1">
      <c r="A66" s="596" t="s">
        <v>341</v>
      </c>
      <c r="B66" s="587"/>
      <c r="C66" s="686"/>
      <c r="D66" s="587"/>
      <c r="E66" s="587"/>
      <c r="F66" s="587"/>
      <c r="G66" s="582"/>
      <c r="H66" s="31"/>
      <c r="I66" s="31"/>
      <c r="J66" s="31"/>
      <c r="K66" s="31"/>
      <c r="L66" s="31"/>
      <c r="M66" s="31"/>
      <c r="N66" s="562"/>
    </row>
    <row r="67" spans="1:14" s="381" customFormat="1">
      <c r="A67" s="597" t="s">
        <v>342</v>
      </c>
      <c r="B67" s="587"/>
      <c r="C67" s="686"/>
      <c r="D67" s="587"/>
      <c r="E67" s="587"/>
      <c r="F67" s="587"/>
      <c r="G67" s="582"/>
      <c r="H67" s="31"/>
      <c r="I67" s="31"/>
      <c r="J67" s="31"/>
      <c r="K67" s="31"/>
      <c r="L67" s="31"/>
      <c r="M67" s="31"/>
      <c r="N67" s="562"/>
    </row>
    <row r="68" spans="1:14" s="381" customFormat="1">
      <c r="A68" s="719" t="s">
        <v>343</v>
      </c>
      <c r="B68" s="720"/>
      <c r="C68" s="720"/>
      <c r="D68" s="720"/>
      <c r="E68" s="720"/>
      <c r="F68" s="720"/>
      <c r="G68" s="582"/>
      <c r="H68" s="31"/>
      <c r="I68" s="31"/>
      <c r="J68" s="31"/>
      <c r="K68" s="31"/>
      <c r="L68" s="31"/>
      <c r="M68" s="31"/>
      <c r="N68" s="562"/>
    </row>
    <row r="69" spans="1:14" s="381" customFormat="1">
      <c r="A69" s="721"/>
      <c r="B69" s="722"/>
      <c r="C69" s="722"/>
      <c r="D69" s="722"/>
      <c r="E69" s="722"/>
      <c r="F69" s="723"/>
      <c r="G69" s="582"/>
      <c r="H69" s="31"/>
      <c r="I69" s="31"/>
      <c r="J69" s="31"/>
      <c r="K69" s="31"/>
      <c r="L69" s="31"/>
      <c r="M69" s="31"/>
      <c r="N69" s="562"/>
    </row>
    <row r="70" spans="1:14" s="381" customFormat="1">
      <c r="A70" s="724"/>
      <c r="B70" s="725"/>
      <c r="C70" s="725"/>
      <c r="D70" s="725"/>
      <c r="E70" s="725"/>
      <c r="F70" s="725"/>
      <c r="G70" s="582"/>
      <c r="H70" s="31"/>
      <c r="I70" s="31"/>
      <c r="J70" s="31"/>
      <c r="K70" s="31"/>
      <c r="L70" s="31"/>
      <c r="M70" s="31"/>
      <c r="N70" s="562"/>
    </row>
    <row r="71" spans="1:14" s="381" customFormat="1">
      <c r="A71" s="597" t="s">
        <v>344</v>
      </c>
      <c r="B71" s="587"/>
      <c r="C71" s="686"/>
      <c r="D71" s="587"/>
      <c r="E71" s="587"/>
      <c r="F71" s="587"/>
      <c r="G71" s="582"/>
      <c r="H71" s="31"/>
      <c r="I71" s="31"/>
      <c r="J71" s="31"/>
      <c r="K71" s="31"/>
      <c r="L71" s="31"/>
      <c r="M71" s="31"/>
      <c r="N71" s="562"/>
    </row>
    <row r="72" spans="1:14" s="381" customFormat="1">
      <c r="A72" s="726" t="s">
        <v>345</v>
      </c>
      <c r="B72" s="727"/>
      <c r="C72" s="727"/>
      <c r="D72" s="727"/>
      <c r="E72" s="727"/>
      <c r="F72" s="727"/>
      <c r="G72" s="582"/>
      <c r="H72" s="31"/>
      <c r="I72" s="31"/>
      <c r="J72" s="31"/>
      <c r="K72" s="31"/>
      <c r="L72" s="31"/>
      <c r="M72" s="31"/>
      <c r="N72" s="562"/>
    </row>
    <row r="73" spans="1:14" s="381" customFormat="1">
      <c r="A73" s="728"/>
      <c r="B73" s="729"/>
      <c r="C73" s="729"/>
      <c r="D73" s="729"/>
      <c r="E73" s="729"/>
      <c r="F73" s="730"/>
      <c r="G73" s="582"/>
      <c r="H73" s="31"/>
      <c r="I73" s="31"/>
      <c r="J73" s="31"/>
      <c r="K73" s="31"/>
      <c r="L73" s="31"/>
      <c r="M73" s="31"/>
      <c r="N73" s="562"/>
    </row>
    <row r="74" spans="1:14" s="381" customFormat="1" ht="15.6" thickBot="1">
      <c r="A74" s="598"/>
      <c r="B74" s="599"/>
      <c r="C74" s="600"/>
      <c r="D74" s="599"/>
      <c r="E74" s="599"/>
      <c r="F74" s="599"/>
      <c r="G74" s="601"/>
      <c r="H74" s="31"/>
      <c r="I74" s="31"/>
      <c r="J74" s="31"/>
      <c r="K74" s="31"/>
      <c r="L74" s="31"/>
      <c r="M74" s="31"/>
      <c r="N74" s="562"/>
    </row>
    <row r="75" spans="1:14" s="381" customFormat="1">
      <c r="A75" s="31"/>
      <c r="B75" s="31"/>
      <c r="C75" s="32"/>
      <c r="D75" s="31"/>
      <c r="E75" s="31"/>
      <c r="F75" s="31"/>
      <c r="G75" s="31"/>
      <c r="H75" s="31"/>
      <c r="I75" s="31"/>
      <c r="J75" s="31"/>
      <c r="K75" s="31"/>
      <c r="L75" s="31"/>
      <c r="M75" s="31"/>
      <c r="N75" s="562"/>
    </row>
  </sheetData>
  <mergeCells count="17">
    <mergeCell ref="A1:N1"/>
    <mergeCell ref="A45:F45"/>
    <mergeCell ref="A46:F46"/>
    <mergeCell ref="A47:B47"/>
    <mergeCell ref="A53:F53"/>
    <mergeCell ref="A54:F54"/>
    <mergeCell ref="A57:F57"/>
    <mergeCell ref="A59:F59"/>
    <mergeCell ref="A60:F60"/>
    <mergeCell ref="A61:F61"/>
    <mergeCell ref="A72:F72"/>
    <mergeCell ref="A73:F73"/>
    <mergeCell ref="A63:E63"/>
    <mergeCell ref="A64:F64"/>
    <mergeCell ref="A68:F68"/>
    <mergeCell ref="A69:F69"/>
    <mergeCell ref="A70:F70"/>
  </mergeCells>
  <printOptions horizontalCentered="1"/>
  <pageMargins left="0.2" right="0.2" top="0.75" bottom="0.75" header="0.3" footer="0.3"/>
  <pageSetup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pageSetUpPr fitToPage="1"/>
  </sheetPr>
  <dimension ref="A1:N103"/>
  <sheetViews>
    <sheetView zoomScaleNormal="100" workbookViewId="0">
      <selection sqref="A1:N1"/>
    </sheetView>
  </sheetViews>
  <sheetFormatPr defaultRowHeight="14.85"/>
  <cols>
    <col min="1" max="1" width="37.85546875" customWidth="1"/>
    <col min="2" max="2" width="16" customWidth="1"/>
    <col min="3" max="3" width="7.7109375" style="30" customWidth="1"/>
    <col min="4" max="4" width="8.7109375" customWidth="1"/>
    <col min="5" max="5" width="10.7109375" customWidth="1"/>
    <col min="6" max="7" width="11" customWidth="1"/>
    <col min="8" max="8" width="10.7109375" bestFit="1" customWidth="1"/>
    <col min="9" max="10" width="7.140625" customWidth="1"/>
    <col min="11" max="11" width="7.7109375" customWidth="1"/>
    <col min="12" max="12" width="9.7109375" customWidth="1"/>
    <col min="13" max="13" width="9.140625" customWidth="1"/>
    <col min="14" max="14" width="66.5703125" bestFit="1" customWidth="1"/>
  </cols>
  <sheetData>
    <row r="1" spans="1:14" ht="15.6">
      <c r="A1" s="745" t="s">
        <v>482</v>
      </c>
      <c r="B1" s="745"/>
      <c r="C1" s="745"/>
      <c r="D1" s="745"/>
      <c r="E1" s="745"/>
      <c r="F1" s="745"/>
      <c r="G1" s="745"/>
      <c r="H1" s="745"/>
      <c r="I1" s="745"/>
      <c r="J1" s="745"/>
      <c r="K1" s="745"/>
      <c r="L1" s="745"/>
      <c r="M1" s="745"/>
      <c r="N1" s="745"/>
    </row>
    <row r="2" spans="1:14">
      <c r="A2" s="65" t="s">
        <v>483</v>
      </c>
      <c r="B2" s="29"/>
      <c r="C2" s="687"/>
      <c r="D2" s="381"/>
      <c r="E2" s="381"/>
      <c r="F2" s="381"/>
      <c r="G2" s="381"/>
      <c r="H2" s="381"/>
      <c r="I2" s="381"/>
      <c r="J2" s="381"/>
      <c r="K2" s="381"/>
      <c r="L2" s="381"/>
      <c r="M2" s="381"/>
      <c r="N2" s="381"/>
    </row>
    <row r="3" spans="1:14">
      <c r="A3" s="65" t="s">
        <v>484</v>
      </c>
      <c r="B3" s="381"/>
      <c r="C3" s="687"/>
      <c r="D3" s="381"/>
      <c r="E3" s="381"/>
      <c r="F3" s="381"/>
      <c r="G3" s="29"/>
      <c r="H3" s="554" t="s">
        <v>275</v>
      </c>
      <c r="I3" s="381"/>
      <c r="J3" s="381"/>
      <c r="K3" s="381"/>
      <c r="L3" s="381"/>
      <c r="M3" s="381"/>
      <c r="N3" s="381"/>
    </row>
    <row r="4" spans="1:14">
      <c r="A4" s="65" t="s">
        <v>485</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SUM(G8:M8)</f>
        <v>0</v>
      </c>
      <c r="G8" s="310">
        <v>0</v>
      </c>
      <c r="H8" s="310">
        <v>0</v>
      </c>
      <c r="I8" s="310">
        <v>0</v>
      </c>
      <c r="J8" s="310">
        <v>0</v>
      </c>
      <c r="K8" s="310">
        <v>0</v>
      </c>
      <c r="L8" s="310">
        <v>0</v>
      </c>
      <c r="M8" s="311">
        <v>0</v>
      </c>
      <c r="N8" s="355"/>
    </row>
    <row r="9" spans="1:14" ht="15.05" customHeight="1">
      <c r="A9" s="36" t="s">
        <v>286</v>
      </c>
      <c r="B9" s="264"/>
      <c r="C9" s="37" t="s">
        <v>287</v>
      </c>
      <c r="D9" s="39"/>
      <c r="E9" s="263">
        <v>0</v>
      </c>
      <c r="F9" s="309">
        <f>SUM(G9:M9)</f>
        <v>0</v>
      </c>
      <c r="G9" s="310">
        <v>0</v>
      </c>
      <c r="H9" s="310">
        <v>0</v>
      </c>
      <c r="I9" s="310">
        <v>0</v>
      </c>
      <c r="J9" s="310">
        <v>0</v>
      </c>
      <c r="K9" s="310">
        <v>0</v>
      </c>
      <c r="L9" s="310">
        <v>0</v>
      </c>
      <c r="M9" s="311">
        <v>0</v>
      </c>
      <c r="N9" s="355"/>
    </row>
    <row r="10" spans="1:14">
      <c r="A10" s="36" t="s">
        <v>286</v>
      </c>
      <c r="B10" s="264"/>
      <c r="C10" s="37" t="s">
        <v>287</v>
      </c>
      <c r="D10" s="39"/>
      <c r="E10" s="263">
        <v>0</v>
      </c>
      <c r="F10" s="309">
        <f>SUM(G10:M10)</f>
        <v>0</v>
      </c>
      <c r="G10" s="310">
        <v>0</v>
      </c>
      <c r="H10" s="310">
        <v>0</v>
      </c>
      <c r="I10" s="310">
        <v>0</v>
      </c>
      <c r="J10" s="310">
        <v>0</v>
      </c>
      <c r="K10" s="310">
        <v>0</v>
      </c>
      <c r="L10" s="310">
        <v>0</v>
      </c>
      <c r="M10" s="311">
        <v>0</v>
      </c>
      <c r="N10" s="355"/>
    </row>
    <row r="11" spans="1:14">
      <c r="A11" s="36" t="s">
        <v>286</v>
      </c>
      <c r="B11" s="265"/>
      <c r="C11" s="37" t="s">
        <v>287</v>
      </c>
      <c r="D11" s="39"/>
      <c r="E11" s="263">
        <v>0</v>
      </c>
      <c r="F11" s="309">
        <f>SUM(G11:M11)</f>
        <v>0</v>
      </c>
      <c r="G11" s="310">
        <v>0</v>
      </c>
      <c r="H11" s="310">
        <v>0</v>
      </c>
      <c r="I11" s="310">
        <v>0</v>
      </c>
      <c r="J11" s="310">
        <v>0</v>
      </c>
      <c r="K11" s="310">
        <v>0</v>
      </c>
      <c r="L11" s="310">
        <v>0</v>
      </c>
      <c r="M11" s="311">
        <v>0</v>
      </c>
      <c r="N11" s="355"/>
    </row>
    <row r="12" spans="1:14">
      <c r="A12" s="40" t="s">
        <v>288</v>
      </c>
      <c r="B12" s="265"/>
      <c r="C12" s="266"/>
      <c r="D12" s="41">
        <f t="shared" ref="D12:M12" si="0">SUM(D7:D11)</f>
        <v>0</v>
      </c>
      <c r="E12" s="42">
        <v>0</v>
      </c>
      <c r="F12" s="43">
        <f t="shared" si="0"/>
        <v>0</v>
      </c>
      <c r="G12" s="43">
        <f t="shared" si="0"/>
        <v>0</v>
      </c>
      <c r="H12" s="43">
        <f t="shared" si="0"/>
        <v>0</v>
      </c>
      <c r="I12" s="43">
        <f t="shared" si="0"/>
        <v>0</v>
      </c>
      <c r="J12" s="43">
        <f t="shared" si="0"/>
        <v>0</v>
      </c>
      <c r="K12" s="43">
        <f t="shared" si="0"/>
        <v>0</v>
      </c>
      <c r="L12" s="43">
        <f t="shared" si="0"/>
        <v>0</v>
      </c>
      <c r="M12" s="43">
        <f t="shared" si="0"/>
        <v>0</v>
      </c>
      <c r="N12" s="254"/>
    </row>
    <row r="13" spans="1:14">
      <c r="A13" s="127" t="s">
        <v>289</v>
      </c>
      <c r="B13" s="128"/>
      <c r="C13" s="129"/>
      <c r="D13" s="128"/>
      <c r="E13" s="128"/>
      <c r="F13" s="89"/>
      <c r="G13" s="89"/>
      <c r="H13" s="89"/>
      <c r="I13" s="89"/>
      <c r="J13" s="89"/>
      <c r="K13" s="89"/>
      <c r="L13" s="89"/>
      <c r="M13" s="89"/>
      <c r="N13" s="89"/>
    </row>
    <row r="14" spans="1:14" ht="393.4" customHeight="1">
      <c r="A14" s="73" t="s">
        <v>486</v>
      </c>
      <c r="B14" s="264" t="s">
        <v>487</v>
      </c>
      <c r="C14" s="44">
        <v>253</v>
      </c>
      <c r="D14" s="45"/>
      <c r="E14" s="263">
        <v>465</v>
      </c>
      <c r="F14" s="309">
        <f>SUM(G14:M14)</f>
        <v>605</v>
      </c>
      <c r="G14" s="310">
        <v>0</v>
      </c>
      <c r="H14" s="310">
        <v>0</v>
      </c>
      <c r="I14" s="310">
        <v>0</v>
      </c>
      <c r="J14" s="310">
        <v>0</v>
      </c>
      <c r="K14" s="310">
        <v>0</v>
      </c>
      <c r="L14" s="310">
        <v>605</v>
      </c>
      <c r="M14" s="311">
        <v>0</v>
      </c>
      <c r="N14" s="545" t="s">
        <v>488</v>
      </c>
    </row>
    <row r="15" spans="1:14" s="381" customFormat="1" ht="59.4">
      <c r="A15" s="575" t="s">
        <v>489</v>
      </c>
      <c r="B15" s="555" t="s">
        <v>487</v>
      </c>
      <c r="C15" s="628">
        <v>253</v>
      </c>
      <c r="D15" s="267"/>
      <c r="E15" s="263">
        <v>0</v>
      </c>
      <c r="F15" s="309">
        <f>SUM(G15:M15)</f>
        <v>40</v>
      </c>
      <c r="G15" s="310">
        <v>0</v>
      </c>
      <c r="H15" s="310">
        <v>0</v>
      </c>
      <c r="I15" s="310">
        <v>0</v>
      </c>
      <c r="J15" s="310">
        <v>0</v>
      </c>
      <c r="K15" s="310">
        <v>0</v>
      </c>
      <c r="L15" s="310">
        <v>40</v>
      </c>
      <c r="M15" s="311">
        <v>0</v>
      </c>
      <c r="N15" s="545" t="s">
        <v>490</v>
      </c>
    </row>
    <row r="16" spans="1:14" s="381" customFormat="1">
      <c r="A16" s="264" t="s">
        <v>355</v>
      </c>
      <c r="B16" s="555"/>
      <c r="C16" s="628">
        <v>253</v>
      </c>
      <c r="D16" s="267"/>
      <c r="E16" s="263">
        <v>0</v>
      </c>
      <c r="F16" s="309">
        <f>SUM(G16:M16)</f>
        <v>0</v>
      </c>
      <c r="G16" s="310">
        <v>0</v>
      </c>
      <c r="H16" s="310">
        <v>0</v>
      </c>
      <c r="I16" s="310">
        <v>0</v>
      </c>
      <c r="J16" s="310">
        <v>0</v>
      </c>
      <c r="K16" s="310">
        <v>0</v>
      </c>
      <c r="L16" s="310">
        <v>0</v>
      </c>
      <c r="M16" s="311">
        <v>0</v>
      </c>
      <c r="N16" s="545"/>
    </row>
    <row r="17" spans="1:14" s="7" customFormat="1">
      <c r="A17" s="264" t="s">
        <v>355</v>
      </c>
      <c r="B17" s="264"/>
      <c r="C17" s="44">
        <v>253</v>
      </c>
      <c r="D17" s="267"/>
      <c r="E17" s="263">
        <v>0</v>
      </c>
      <c r="F17" s="309">
        <f>SUM(G17:M17)</f>
        <v>0</v>
      </c>
      <c r="G17" s="310">
        <v>0</v>
      </c>
      <c r="H17" s="310">
        <v>0</v>
      </c>
      <c r="I17" s="310">
        <v>0</v>
      </c>
      <c r="J17" s="310">
        <v>0</v>
      </c>
      <c r="K17" s="310">
        <v>0</v>
      </c>
      <c r="L17" s="310">
        <v>0</v>
      </c>
      <c r="M17" s="311">
        <v>0</v>
      </c>
      <c r="N17" s="428"/>
    </row>
    <row r="18" spans="1:14">
      <c r="A18" s="40" t="s">
        <v>294</v>
      </c>
      <c r="B18" s="265"/>
      <c r="C18" s="266"/>
      <c r="D18" s="267">
        <f>SUM(D14:D17)</f>
        <v>0</v>
      </c>
      <c r="E18" s="42">
        <f>SUM(E14:E17)</f>
        <v>465</v>
      </c>
      <c r="F18" s="43">
        <f t="shared" ref="F18:M18" si="1">SUM(F14:F17)</f>
        <v>645</v>
      </c>
      <c r="G18" s="43">
        <f t="shared" si="1"/>
        <v>0</v>
      </c>
      <c r="H18" s="43">
        <f t="shared" si="1"/>
        <v>0</v>
      </c>
      <c r="I18" s="43">
        <f t="shared" si="1"/>
        <v>0</v>
      </c>
      <c r="J18" s="43">
        <f t="shared" si="1"/>
        <v>0</v>
      </c>
      <c r="K18" s="43">
        <f t="shared" si="1"/>
        <v>0</v>
      </c>
      <c r="L18" s="43">
        <f t="shared" si="1"/>
        <v>645</v>
      </c>
      <c r="M18" s="43">
        <f t="shared" si="1"/>
        <v>0</v>
      </c>
      <c r="N18" s="355"/>
    </row>
    <row r="19" spans="1:14" s="7" customFormat="1">
      <c r="A19" s="127" t="s">
        <v>356</v>
      </c>
      <c r="B19" s="128"/>
      <c r="C19" s="129"/>
      <c r="D19" s="128"/>
      <c r="E19" s="128"/>
      <c r="F19" s="89"/>
      <c r="G19" s="89"/>
      <c r="H19" s="89"/>
      <c r="I19" s="89"/>
      <c r="J19" s="89"/>
      <c r="K19" s="89"/>
      <c r="L19" s="89"/>
      <c r="M19" s="89"/>
      <c r="N19" s="89"/>
    </row>
    <row r="20" spans="1:14" ht="15.05" customHeight="1">
      <c r="A20" s="264" t="s">
        <v>296</v>
      </c>
      <c r="B20" s="36"/>
      <c r="C20" s="37" t="s">
        <v>297</v>
      </c>
      <c r="D20" s="38">
        <v>0</v>
      </c>
      <c r="E20" s="263">
        <v>0</v>
      </c>
      <c r="F20" s="309">
        <v>0</v>
      </c>
      <c r="G20" s="310">
        <v>0</v>
      </c>
      <c r="H20" s="310">
        <v>0</v>
      </c>
      <c r="I20" s="310">
        <v>0</v>
      </c>
      <c r="J20" s="310">
        <v>0</v>
      </c>
      <c r="K20" s="310">
        <v>0</v>
      </c>
      <c r="L20" s="310">
        <v>0</v>
      </c>
      <c r="M20" s="311">
        <v>0</v>
      </c>
      <c r="N20" s="355"/>
    </row>
    <row r="21" spans="1:14">
      <c r="A21" s="264" t="s">
        <v>298</v>
      </c>
      <c r="B21" s="36"/>
      <c r="C21" s="44" t="s">
        <v>299</v>
      </c>
      <c r="D21" s="45"/>
      <c r="E21" s="263">
        <v>0</v>
      </c>
      <c r="F21" s="309">
        <v>0</v>
      </c>
      <c r="G21" s="310">
        <v>0</v>
      </c>
      <c r="H21" s="310">
        <v>0</v>
      </c>
      <c r="I21" s="310">
        <v>0</v>
      </c>
      <c r="J21" s="310">
        <v>0</v>
      </c>
      <c r="K21" s="310">
        <v>0</v>
      </c>
      <c r="L21" s="310">
        <v>0</v>
      </c>
      <c r="M21" s="311">
        <v>0</v>
      </c>
      <c r="N21" s="355"/>
    </row>
    <row r="22" spans="1:14">
      <c r="A22" s="264" t="s">
        <v>300</v>
      </c>
      <c r="B22" s="36"/>
      <c r="C22" s="44" t="s">
        <v>301</v>
      </c>
      <c r="D22" s="45"/>
      <c r="E22" s="263">
        <v>0</v>
      </c>
      <c r="F22" s="309">
        <v>0</v>
      </c>
      <c r="G22" s="310">
        <v>0</v>
      </c>
      <c r="H22" s="310">
        <v>0</v>
      </c>
      <c r="I22" s="310">
        <v>0</v>
      </c>
      <c r="J22" s="310">
        <v>0</v>
      </c>
      <c r="K22" s="310">
        <v>0</v>
      </c>
      <c r="L22" s="310">
        <v>0</v>
      </c>
      <c r="M22" s="311">
        <v>0</v>
      </c>
      <c r="N22" s="325"/>
    </row>
    <row r="23" spans="1:14">
      <c r="A23" s="264" t="s">
        <v>302</v>
      </c>
      <c r="B23" s="36"/>
      <c r="C23" s="44" t="s">
        <v>303</v>
      </c>
      <c r="D23" s="45"/>
      <c r="E23" s="263">
        <v>0</v>
      </c>
      <c r="F23" s="309">
        <v>0</v>
      </c>
      <c r="G23" s="310">
        <v>0</v>
      </c>
      <c r="H23" s="310">
        <v>0</v>
      </c>
      <c r="I23" s="310">
        <v>0</v>
      </c>
      <c r="J23" s="310">
        <v>0</v>
      </c>
      <c r="K23" s="310">
        <v>0</v>
      </c>
      <c r="L23" s="310">
        <v>0</v>
      </c>
      <c r="M23" s="311">
        <v>0</v>
      </c>
      <c r="N23" s="355"/>
    </row>
    <row r="24" spans="1:14">
      <c r="A24" s="264" t="s">
        <v>304</v>
      </c>
      <c r="B24" s="36"/>
      <c r="C24" s="44">
        <v>251</v>
      </c>
      <c r="D24" s="45"/>
      <c r="E24" s="263">
        <v>0</v>
      </c>
      <c r="F24" s="309">
        <v>0</v>
      </c>
      <c r="G24" s="310">
        <v>0</v>
      </c>
      <c r="H24" s="310">
        <v>0</v>
      </c>
      <c r="I24" s="310">
        <v>0</v>
      </c>
      <c r="J24" s="310">
        <v>0</v>
      </c>
      <c r="K24" s="310">
        <v>0</v>
      </c>
      <c r="L24" s="310">
        <v>0</v>
      </c>
      <c r="M24" s="311">
        <v>0</v>
      </c>
      <c r="N24" s="355"/>
    </row>
    <row r="25" spans="1:14">
      <c r="A25" s="264" t="s">
        <v>313</v>
      </c>
      <c r="B25" s="36"/>
      <c r="C25" s="44">
        <v>252</v>
      </c>
      <c r="D25" s="45"/>
      <c r="E25" s="263">
        <v>0</v>
      </c>
      <c r="F25" s="309">
        <v>0</v>
      </c>
      <c r="G25" s="310">
        <v>0</v>
      </c>
      <c r="H25" s="310">
        <v>0</v>
      </c>
      <c r="I25" s="310">
        <v>0</v>
      </c>
      <c r="J25" s="310">
        <v>0</v>
      </c>
      <c r="K25" s="310">
        <v>0</v>
      </c>
      <c r="L25" s="310">
        <v>0</v>
      </c>
      <c r="M25" s="311">
        <v>0</v>
      </c>
      <c r="N25" s="355"/>
    </row>
    <row r="26" spans="1:14">
      <c r="A26" s="264" t="s">
        <v>314</v>
      </c>
      <c r="B26" s="36"/>
      <c r="C26" s="44">
        <v>252</v>
      </c>
      <c r="D26" s="45"/>
      <c r="E26" s="263">
        <v>0</v>
      </c>
      <c r="F26" s="309">
        <v>0</v>
      </c>
      <c r="G26" s="310">
        <v>0</v>
      </c>
      <c r="H26" s="310">
        <v>0</v>
      </c>
      <c r="I26" s="310">
        <v>0</v>
      </c>
      <c r="J26" s="310">
        <v>0</v>
      </c>
      <c r="K26" s="310">
        <v>0</v>
      </c>
      <c r="L26" s="310">
        <v>0</v>
      </c>
      <c r="M26" s="311">
        <v>0</v>
      </c>
      <c r="N26" s="355"/>
    </row>
    <row r="27" spans="1:14">
      <c r="A27" s="264" t="s">
        <v>315</v>
      </c>
      <c r="B27" s="36"/>
      <c r="C27" s="44">
        <v>253</v>
      </c>
      <c r="D27" s="264"/>
      <c r="E27" s="263">
        <v>0</v>
      </c>
      <c r="F27" s="309">
        <v>0</v>
      </c>
      <c r="G27" s="310">
        <v>0</v>
      </c>
      <c r="H27" s="310">
        <v>0</v>
      </c>
      <c r="I27" s="310">
        <v>0</v>
      </c>
      <c r="J27" s="310">
        <v>0</v>
      </c>
      <c r="K27" s="310">
        <v>0</v>
      </c>
      <c r="L27" s="310">
        <v>0</v>
      </c>
      <c r="M27" s="311">
        <v>0</v>
      </c>
      <c r="N27" s="355"/>
    </row>
    <row r="28" spans="1:14">
      <c r="A28" s="264" t="s">
        <v>316</v>
      </c>
      <c r="B28" s="36"/>
      <c r="C28" s="44">
        <v>255</v>
      </c>
      <c r="D28" s="264"/>
      <c r="E28" s="263">
        <v>0</v>
      </c>
      <c r="F28" s="309">
        <v>0</v>
      </c>
      <c r="G28" s="310">
        <v>0</v>
      </c>
      <c r="H28" s="310">
        <v>0</v>
      </c>
      <c r="I28" s="310">
        <v>0</v>
      </c>
      <c r="J28" s="310">
        <v>0</v>
      </c>
      <c r="K28" s="310">
        <v>0</v>
      </c>
      <c r="L28" s="310">
        <v>0</v>
      </c>
      <c r="M28" s="311">
        <v>0</v>
      </c>
      <c r="N28" s="355"/>
    </row>
    <row r="29" spans="1:14">
      <c r="A29" s="264" t="s">
        <v>317</v>
      </c>
      <c r="B29" s="36"/>
      <c r="C29" s="44">
        <v>256</v>
      </c>
      <c r="D29" s="264"/>
      <c r="E29" s="263">
        <v>0</v>
      </c>
      <c r="F29" s="309">
        <v>0</v>
      </c>
      <c r="G29" s="310">
        <v>0</v>
      </c>
      <c r="H29" s="310">
        <v>0</v>
      </c>
      <c r="I29" s="310">
        <v>0</v>
      </c>
      <c r="J29" s="310">
        <v>0</v>
      </c>
      <c r="K29" s="310">
        <v>0</v>
      </c>
      <c r="L29" s="310">
        <v>0</v>
      </c>
      <c r="M29" s="311">
        <v>0</v>
      </c>
      <c r="N29" s="355"/>
    </row>
    <row r="30" spans="1:14">
      <c r="A30" s="264" t="s">
        <v>318</v>
      </c>
      <c r="B30" s="36"/>
      <c r="C30" s="44">
        <v>257</v>
      </c>
      <c r="D30" s="264"/>
      <c r="E30" s="263">
        <v>0</v>
      </c>
      <c r="F30" s="309">
        <v>0</v>
      </c>
      <c r="G30" s="310">
        <v>0</v>
      </c>
      <c r="H30" s="310">
        <v>0</v>
      </c>
      <c r="I30" s="310">
        <v>0</v>
      </c>
      <c r="J30" s="310">
        <v>0</v>
      </c>
      <c r="K30" s="310">
        <v>0</v>
      </c>
      <c r="L30" s="310">
        <v>0</v>
      </c>
      <c r="M30" s="311">
        <v>0</v>
      </c>
      <c r="N30" s="355"/>
    </row>
    <row r="31" spans="1:14">
      <c r="A31" s="264" t="s">
        <v>319</v>
      </c>
      <c r="B31" s="36"/>
      <c r="C31" s="44" t="s">
        <v>320</v>
      </c>
      <c r="D31" s="264"/>
      <c r="E31" s="263">
        <v>0</v>
      </c>
      <c r="F31" s="309">
        <v>0</v>
      </c>
      <c r="G31" s="310">
        <v>0</v>
      </c>
      <c r="H31" s="310">
        <v>0</v>
      </c>
      <c r="I31" s="310">
        <v>0</v>
      </c>
      <c r="J31" s="310">
        <v>0</v>
      </c>
      <c r="K31" s="310">
        <v>0</v>
      </c>
      <c r="L31" s="310">
        <v>0</v>
      </c>
      <c r="M31" s="311">
        <v>0</v>
      </c>
      <c r="N31" s="355"/>
    </row>
    <row r="32" spans="1:14" s="381" customFormat="1">
      <c r="A32" s="632" t="s">
        <v>321</v>
      </c>
      <c r="B32" s="57"/>
      <c r="C32" s="664" t="s">
        <v>322</v>
      </c>
      <c r="D32" s="632"/>
      <c r="E32" s="263">
        <v>0</v>
      </c>
      <c r="F32" s="309">
        <f t="shared" ref="F32:F33" si="2">SUM(G32:M32)</f>
        <v>0</v>
      </c>
      <c r="G32" s="310">
        <v>0</v>
      </c>
      <c r="H32" s="310">
        <v>0</v>
      </c>
      <c r="I32" s="310">
        <v>0</v>
      </c>
      <c r="J32" s="310">
        <v>0</v>
      </c>
      <c r="K32" s="310">
        <v>0</v>
      </c>
      <c r="L32" s="310">
        <v>0</v>
      </c>
      <c r="M32" s="311">
        <v>0</v>
      </c>
      <c r="N32" s="355"/>
    </row>
    <row r="33" spans="1:14" s="381" customFormat="1">
      <c r="A33" s="632" t="s">
        <v>323</v>
      </c>
      <c r="B33" s="57"/>
      <c r="C33" s="664" t="s">
        <v>324</v>
      </c>
      <c r="D33" s="632"/>
      <c r="E33" s="263">
        <v>0</v>
      </c>
      <c r="F33" s="309">
        <f t="shared" si="2"/>
        <v>0</v>
      </c>
      <c r="G33" s="310">
        <v>0</v>
      </c>
      <c r="H33" s="310">
        <v>0</v>
      </c>
      <c r="I33" s="310">
        <v>0</v>
      </c>
      <c r="J33" s="310">
        <v>0</v>
      </c>
      <c r="K33" s="310">
        <v>0</v>
      </c>
      <c r="L33" s="310">
        <f>-140-40-925+1105</f>
        <v>0</v>
      </c>
      <c r="M33" s="311">
        <v>0</v>
      </c>
      <c r="N33" s="355" t="s">
        <v>491</v>
      </c>
    </row>
    <row r="34" spans="1:14">
      <c r="A34" s="40" t="s">
        <v>326</v>
      </c>
      <c r="B34" s="265"/>
      <c r="C34" s="266"/>
      <c r="D34" s="267"/>
      <c r="E34" s="42">
        <v>0</v>
      </c>
      <c r="F34" s="43">
        <f t="shared" ref="F34:M34" si="3">SUM(F20:F33)</f>
        <v>0</v>
      </c>
      <c r="G34" s="43">
        <f t="shared" si="3"/>
        <v>0</v>
      </c>
      <c r="H34" s="43">
        <f t="shared" si="3"/>
        <v>0</v>
      </c>
      <c r="I34" s="43">
        <f t="shared" si="3"/>
        <v>0</v>
      </c>
      <c r="J34" s="43">
        <f t="shared" si="3"/>
        <v>0</v>
      </c>
      <c r="K34" s="43">
        <f t="shared" si="3"/>
        <v>0</v>
      </c>
      <c r="L34" s="43">
        <f t="shared" si="3"/>
        <v>0</v>
      </c>
      <c r="M34" s="43">
        <f t="shared" si="3"/>
        <v>0</v>
      </c>
      <c r="N34" s="355"/>
    </row>
    <row r="35" spans="1:14" s="151" customFormat="1" ht="17.100000000000001" customHeight="1">
      <c r="A35" s="40" t="s">
        <v>327</v>
      </c>
      <c r="B35" s="51"/>
      <c r="C35" s="149"/>
      <c r="D35" s="267"/>
      <c r="E35" s="241">
        <v>0</v>
      </c>
      <c r="F35" s="240">
        <f>SUM(G35:L35)</f>
        <v>0</v>
      </c>
      <c r="G35" s="240"/>
      <c r="H35" s="240">
        <v>0</v>
      </c>
      <c r="I35" s="240"/>
      <c r="J35" s="240"/>
      <c r="K35" s="240"/>
      <c r="L35" s="240"/>
      <c r="M35" s="240"/>
      <c r="N35" s="325" t="s">
        <v>492</v>
      </c>
    </row>
    <row r="36" spans="1:14">
      <c r="A36" s="40" t="s">
        <v>328</v>
      </c>
      <c r="B36" s="46"/>
      <c r="C36" s="47"/>
      <c r="D36" s="48">
        <f>D34+D18+D12</f>
        <v>0</v>
      </c>
      <c r="E36" s="42">
        <f t="shared" ref="E36:M36" si="4">E34+E18+E12-E35</f>
        <v>465</v>
      </c>
      <c r="F36" s="17">
        <f t="shared" si="4"/>
        <v>645</v>
      </c>
      <c r="G36" s="17">
        <f t="shared" si="4"/>
        <v>0</v>
      </c>
      <c r="H36" s="17">
        <f t="shared" si="4"/>
        <v>0</v>
      </c>
      <c r="I36" s="17">
        <f t="shared" si="4"/>
        <v>0</v>
      </c>
      <c r="J36" s="17">
        <f t="shared" si="4"/>
        <v>0</v>
      </c>
      <c r="K36" s="17">
        <f t="shared" si="4"/>
        <v>0</v>
      </c>
      <c r="L36" s="17">
        <f t="shared" si="4"/>
        <v>645</v>
      </c>
      <c r="M36" s="17">
        <f t="shared" si="4"/>
        <v>0</v>
      </c>
      <c r="N36" s="353"/>
    </row>
    <row r="39" spans="1:14" s="381" customFormat="1" ht="15.6" thickBot="1">
      <c r="A39" s="31"/>
      <c r="B39" s="31"/>
      <c r="C39" s="32"/>
      <c r="D39" s="31"/>
      <c r="E39" s="31"/>
      <c r="F39" s="31"/>
      <c r="G39" s="31"/>
      <c r="H39" s="31"/>
      <c r="I39" s="31"/>
      <c r="J39" s="31"/>
      <c r="K39" s="31"/>
      <c r="L39" s="31"/>
      <c r="M39" s="31"/>
      <c r="N39" s="562"/>
    </row>
    <row r="40" spans="1:14" s="381" customFormat="1" ht="15.6">
      <c r="A40" s="764" t="s">
        <v>330</v>
      </c>
      <c r="B40" s="765"/>
      <c r="C40" s="765"/>
      <c r="D40" s="765"/>
      <c r="E40" s="765"/>
      <c r="F40" s="765"/>
      <c r="G40" s="581"/>
      <c r="H40" s="31"/>
      <c r="I40" s="31"/>
      <c r="J40" s="31"/>
      <c r="K40" s="31"/>
      <c r="L40" s="31"/>
      <c r="M40" s="31"/>
      <c r="N40" s="562"/>
    </row>
    <row r="41" spans="1:14" s="381" customFormat="1" ht="15.6">
      <c r="A41" s="738"/>
      <c r="B41" s="739"/>
      <c r="C41" s="739"/>
      <c r="D41" s="739"/>
      <c r="E41" s="739"/>
      <c r="F41" s="739"/>
      <c r="G41" s="582"/>
      <c r="H41" s="31"/>
      <c r="I41" s="31"/>
      <c r="J41" s="31"/>
      <c r="K41" s="31"/>
      <c r="L41" s="31"/>
      <c r="M41" s="31"/>
      <c r="N41" s="562"/>
    </row>
    <row r="42" spans="1:14" s="381" customFormat="1">
      <c r="A42" s="740" t="s">
        <v>331</v>
      </c>
      <c r="B42" s="741"/>
      <c r="C42" s="583"/>
      <c r="D42" s="583"/>
      <c r="E42" s="583"/>
      <c r="F42" s="583"/>
      <c r="G42" s="582"/>
      <c r="H42" s="31"/>
      <c r="I42" s="31"/>
      <c r="J42" s="31"/>
      <c r="K42" s="31"/>
      <c r="L42" s="31"/>
      <c r="M42" s="31"/>
      <c r="N42" s="562"/>
    </row>
    <row r="43" spans="1:14" s="381" customFormat="1">
      <c r="A43" s="584" t="s">
        <v>332</v>
      </c>
      <c r="B43" s="585">
        <f>+E36</f>
        <v>465</v>
      </c>
      <c r="C43" s="586"/>
      <c r="D43" s="587"/>
      <c r="E43" s="587"/>
      <c r="F43" s="587"/>
      <c r="G43" s="582"/>
      <c r="H43" s="31"/>
      <c r="I43" s="31"/>
      <c r="J43" s="31"/>
      <c r="K43" s="31"/>
      <c r="L43" s="31"/>
      <c r="M43" s="31"/>
      <c r="N43" s="562"/>
    </row>
    <row r="44" spans="1:14" s="381" customFormat="1">
      <c r="A44" s="588" t="s">
        <v>333</v>
      </c>
      <c r="B44" s="589">
        <f>+F36</f>
        <v>645</v>
      </c>
      <c r="C44" s="586"/>
      <c r="D44" s="587"/>
      <c r="E44" s="587"/>
      <c r="F44" s="587"/>
      <c r="G44" s="582"/>
      <c r="H44" s="31"/>
      <c r="I44" s="31"/>
      <c r="J44" s="31"/>
      <c r="K44" s="31"/>
      <c r="L44" s="31"/>
      <c r="M44" s="31"/>
      <c r="N44" s="562"/>
    </row>
    <row r="45" spans="1:14" s="381" customFormat="1">
      <c r="A45" s="590" t="s">
        <v>334</v>
      </c>
      <c r="B45" s="591">
        <f>+B44-B43</f>
        <v>180</v>
      </c>
      <c r="C45" s="586"/>
      <c r="D45" s="587"/>
      <c r="E45" s="587"/>
      <c r="F45" s="587"/>
      <c r="G45" s="582"/>
      <c r="H45" s="31"/>
      <c r="I45" s="31"/>
      <c r="J45" s="31"/>
      <c r="K45" s="31"/>
      <c r="L45" s="31"/>
      <c r="M45" s="31"/>
      <c r="N45" s="562"/>
    </row>
    <row r="46" spans="1:14" s="381" customFormat="1">
      <c r="A46" s="590" t="s">
        <v>335</v>
      </c>
      <c r="B46" s="592">
        <f>+B45/B43</f>
        <v>0.38709677419354838</v>
      </c>
      <c r="C46" s="586"/>
      <c r="D46" s="587"/>
      <c r="E46" s="587"/>
      <c r="F46" s="587"/>
      <c r="G46" s="582"/>
      <c r="H46" s="31"/>
      <c r="I46" s="31"/>
      <c r="J46" s="31"/>
      <c r="K46" s="31"/>
      <c r="L46" s="31"/>
      <c r="M46" s="31"/>
      <c r="N46" s="562"/>
    </row>
    <row r="47" spans="1:14" s="381" customFormat="1">
      <c r="A47" s="593"/>
      <c r="B47" s="587"/>
      <c r="C47" s="686"/>
      <c r="D47" s="587"/>
      <c r="E47" s="587"/>
      <c r="F47" s="587"/>
      <c r="G47" s="582"/>
      <c r="H47" s="31"/>
      <c r="I47" s="31"/>
      <c r="J47" s="31"/>
      <c r="K47" s="31"/>
      <c r="L47" s="31"/>
      <c r="M47" s="31"/>
      <c r="N47" s="562"/>
    </row>
    <row r="48" spans="1:14" s="381" customFormat="1">
      <c r="A48" s="731" t="s">
        <v>336</v>
      </c>
      <c r="B48" s="732"/>
      <c r="C48" s="732"/>
      <c r="D48" s="732"/>
      <c r="E48" s="732"/>
      <c r="F48" s="732"/>
      <c r="G48" s="582"/>
      <c r="H48" s="31"/>
      <c r="I48" s="31"/>
      <c r="J48" s="31"/>
      <c r="K48" s="31"/>
      <c r="L48" s="31"/>
      <c r="M48" s="31"/>
      <c r="N48" s="562"/>
    </row>
    <row r="49" spans="1:14" s="381" customFormat="1" ht="34.15" customHeight="1">
      <c r="A49" s="742" t="s">
        <v>493</v>
      </c>
      <c r="B49" s="743"/>
      <c r="C49" s="743"/>
      <c r="D49" s="743"/>
      <c r="E49" s="743"/>
      <c r="F49" s="744"/>
      <c r="G49" s="582"/>
      <c r="H49" s="31"/>
      <c r="I49" s="31"/>
      <c r="J49" s="31"/>
      <c r="K49" s="31"/>
      <c r="L49" s="31"/>
      <c r="M49" s="31"/>
      <c r="N49" s="562"/>
    </row>
    <row r="50" spans="1:14" s="381" customFormat="1">
      <c r="A50" s="594"/>
      <c r="B50" s="595"/>
      <c r="C50" s="595"/>
      <c r="D50" s="595"/>
      <c r="E50" s="595"/>
      <c r="F50" s="595"/>
      <c r="G50" s="582"/>
      <c r="H50" s="31"/>
      <c r="I50" s="31"/>
      <c r="J50" s="31"/>
      <c r="K50" s="31"/>
      <c r="L50" s="31"/>
      <c r="M50" s="31"/>
      <c r="N50" s="562"/>
    </row>
    <row r="51" spans="1:14" s="381" customFormat="1">
      <c r="A51" s="596" t="s">
        <v>337</v>
      </c>
      <c r="B51" s="587"/>
      <c r="C51" s="686"/>
      <c r="D51" s="587"/>
      <c r="E51" s="587"/>
      <c r="F51" s="587"/>
      <c r="G51" s="582"/>
      <c r="H51" s="31"/>
      <c r="I51" s="31"/>
      <c r="J51" s="31"/>
      <c r="K51" s="31"/>
      <c r="L51" s="31"/>
      <c r="M51" s="31"/>
      <c r="N51" s="562"/>
    </row>
    <row r="52" spans="1:14" s="381" customFormat="1" ht="321.05" customHeight="1">
      <c r="A52" s="742" t="s">
        <v>494</v>
      </c>
      <c r="B52" s="743"/>
      <c r="C52" s="743"/>
      <c r="D52" s="743"/>
      <c r="E52" s="743"/>
      <c r="F52" s="744"/>
      <c r="G52" s="582"/>
      <c r="H52" s="31"/>
      <c r="I52" s="31"/>
      <c r="J52" s="31"/>
      <c r="K52" s="31"/>
      <c r="L52" s="31"/>
      <c r="M52" s="31"/>
      <c r="N52" s="562"/>
    </row>
    <row r="53" spans="1:14" s="381" customFormat="1">
      <c r="A53" s="593"/>
      <c r="B53" s="587"/>
      <c r="C53" s="686"/>
      <c r="D53" s="587"/>
      <c r="E53" s="587"/>
      <c r="F53" s="587"/>
      <c r="G53" s="582"/>
      <c r="H53" s="31"/>
      <c r="I53" s="31"/>
      <c r="J53" s="31"/>
      <c r="K53" s="31"/>
      <c r="L53" s="31"/>
      <c r="M53" s="31"/>
      <c r="N53" s="562"/>
    </row>
    <row r="54" spans="1:14" s="381" customFormat="1">
      <c r="A54" s="731" t="s">
        <v>365</v>
      </c>
      <c r="B54" s="732"/>
      <c r="C54" s="732"/>
      <c r="D54" s="732"/>
      <c r="E54" s="732"/>
      <c r="F54" s="732"/>
      <c r="G54" s="582"/>
      <c r="H54" s="31"/>
      <c r="I54" s="31"/>
      <c r="J54" s="31"/>
      <c r="K54" s="31"/>
      <c r="L54" s="31"/>
      <c r="M54" s="31"/>
      <c r="N54" s="562"/>
    </row>
    <row r="55" spans="1:14" s="381" customFormat="1">
      <c r="A55" s="733" t="s">
        <v>339</v>
      </c>
      <c r="B55" s="734"/>
      <c r="C55" s="734"/>
      <c r="D55" s="734"/>
      <c r="E55" s="734"/>
      <c r="F55" s="734"/>
      <c r="G55" s="582"/>
      <c r="H55" s="31"/>
      <c r="I55" s="31"/>
      <c r="J55" s="31"/>
      <c r="K55" s="31"/>
      <c r="L55" s="31"/>
      <c r="M55" s="31"/>
      <c r="N55" s="562"/>
    </row>
    <row r="56" spans="1:14" s="381" customFormat="1" ht="49.55" customHeight="1">
      <c r="A56" s="742" t="s">
        <v>495</v>
      </c>
      <c r="B56" s="743"/>
      <c r="C56" s="743"/>
      <c r="D56" s="743"/>
      <c r="E56" s="743"/>
      <c r="F56" s="744"/>
      <c r="G56" s="582"/>
      <c r="H56" s="31"/>
      <c r="I56" s="31"/>
      <c r="J56" s="31"/>
      <c r="K56" s="31"/>
      <c r="L56" s="31"/>
      <c r="M56" s="31"/>
      <c r="N56" s="562"/>
    </row>
    <row r="57" spans="1:14" s="381" customFormat="1">
      <c r="A57" s="596"/>
      <c r="B57" s="587"/>
      <c r="C57" s="686"/>
      <c r="D57" s="587"/>
      <c r="E57" s="587"/>
      <c r="F57" s="587"/>
      <c r="G57" s="582"/>
      <c r="H57" s="31"/>
      <c r="I57" s="31"/>
      <c r="J57" s="31"/>
      <c r="K57" s="31"/>
      <c r="L57" s="31"/>
      <c r="M57" s="31"/>
      <c r="N57" s="562"/>
    </row>
    <row r="58" spans="1:14" s="381" customFormat="1">
      <c r="A58" s="731" t="s">
        <v>340</v>
      </c>
      <c r="B58" s="732"/>
      <c r="C58" s="732"/>
      <c r="D58" s="732"/>
      <c r="E58" s="732"/>
      <c r="F58" s="587"/>
      <c r="G58" s="582"/>
      <c r="H58" s="31"/>
      <c r="I58" s="31"/>
      <c r="J58" s="31"/>
      <c r="K58" s="31"/>
      <c r="L58" s="31"/>
      <c r="M58" s="31"/>
      <c r="N58" s="562"/>
    </row>
    <row r="59" spans="1:14" s="381" customFormat="1" ht="28.95" customHeight="1">
      <c r="A59" s="742" t="s">
        <v>496</v>
      </c>
      <c r="B59" s="743"/>
      <c r="C59" s="743"/>
      <c r="D59" s="743"/>
      <c r="E59" s="743"/>
      <c r="F59" s="744"/>
      <c r="G59" s="582"/>
      <c r="H59" s="31"/>
      <c r="I59" s="31"/>
      <c r="J59" s="31"/>
      <c r="K59" s="31"/>
      <c r="L59" s="31"/>
      <c r="M59" s="31"/>
      <c r="N59" s="562"/>
    </row>
    <row r="60" spans="1:14" s="381" customFormat="1">
      <c r="A60" s="593"/>
      <c r="B60" s="587"/>
      <c r="C60" s="686"/>
      <c r="D60" s="587"/>
      <c r="E60" s="587"/>
      <c r="F60" s="587"/>
      <c r="G60" s="582"/>
      <c r="H60" s="31"/>
      <c r="I60" s="31"/>
      <c r="J60" s="31"/>
      <c r="K60" s="31"/>
      <c r="L60" s="31"/>
      <c r="M60" s="31"/>
      <c r="N60" s="562"/>
    </row>
    <row r="61" spans="1:14" s="381" customFormat="1">
      <c r="A61" s="596" t="s">
        <v>341</v>
      </c>
      <c r="B61" s="587"/>
      <c r="C61" s="686"/>
      <c r="D61" s="587"/>
      <c r="E61" s="587"/>
      <c r="F61" s="587"/>
      <c r="G61" s="582"/>
      <c r="H61" s="31"/>
      <c r="I61" s="31"/>
      <c r="J61" s="31"/>
      <c r="K61" s="31"/>
      <c r="L61" s="31"/>
      <c r="M61" s="31"/>
      <c r="N61" s="562"/>
    </row>
    <row r="62" spans="1:14" s="381" customFormat="1">
      <c r="A62" s="597" t="s">
        <v>342</v>
      </c>
      <c r="B62" s="587"/>
      <c r="C62" s="686"/>
      <c r="D62" s="587"/>
      <c r="E62" s="587"/>
      <c r="F62" s="587"/>
      <c r="G62" s="582"/>
      <c r="H62" s="31"/>
      <c r="I62" s="31"/>
      <c r="J62" s="31"/>
      <c r="K62" s="31"/>
      <c r="L62" s="31"/>
      <c r="M62" s="31"/>
      <c r="N62" s="562"/>
    </row>
    <row r="63" spans="1:14" s="381" customFormat="1">
      <c r="A63" s="719" t="s">
        <v>343</v>
      </c>
      <c r="B63" s="720"/>
      <c r="C63" s="720"/>
      <c r="D63" s="720"/>
      <c r="E63" s="720"/>
      <c r="F63" s="720"/>
      <c r="G63" s="582"/>
      <c r="H63" s="31"/>
      <c r="I63" s="31"/>
      <c r="J63" s="31"/>
      <c r="K63" s="31"/>
      <c r="L63" s="31"/>
      <c r="M63" s="31"/>
      <c r="N63" s="562"/>
    </row>
    <row r="64" spans="1:14" s="381" customFormat="1" ht="41.6" customHeight="1">
      <c r="A64" s="742" t="s">
        <v>497</v>
      </c>
      <c r="B64" s="743"/>
      <c r="C64" s="743"/>
      <c r="D64" s="743"/>
      <c r="E64" s="743"/>
      <c r="F64" s="744"/>
      <c r="G64" s="582"/>
      <c r="H64" s="31"/>
      <c r="I64" s="31"/>
      <c r="J64" s="31"/>
      <c r="K64" s="31"/>
      <c r="L64" s="31"/>
      <c r="M64" s="31"/>
      <c r="N64" s="562"/>
    </row>
    <row r="65" spans="1:14" s="381" customFormat="1">
      <c r="A65" s="724"/>
      <c r="B65" s="725"/>
      <c r="C65" s="725"/>
      <c r="D65" s="725"/>
      <c r="E65" s="725"/>
      <c r="F65" s="725"/>
      <c r="G65" s="582"/>
      <c r="H65" s="31"/>
      <c r="I65" s="31"/>
      <c r="J65" s="31"/>
      <c r="K65" s="31"/>
      <c r="L65" s="31"/>
      <c r="M65" s="31"/>
      <c r="N65" s="562"/>
    </row>
    <row r="66" spans="1:14" s="381" customFormat="1">
      <c r="A66" s="597" t="s">
        <v>344</v>
      </c>
      <c r="B66" s="587"/>
      <c r="C66" s="686"/>
      <c r="D66" s="587"/>
      <c r="E66" s="587"/>
      <c r="F66" s="587"/>
      <c r="G66" s="582"/>
      <c r="H66" s="31"/>
      <c r="I66" s="31"/>
      <c r="J66" s="31"/>
      <c r="K66" s="31"/>
      <c r="L66" s="31"/>
      <c r="M66" s="31"/>
      <c r="N66" s="562"/>
    </row>
    <row r="67" spans="1:14" s="381" customFormat="1" ht="43.45" customHeight="1">
      <c r="A67" s="726" t="s">
        <v>345</v>
      </c>
      <c r="B67" s="727"/>
      <c r="C67" s="727"/>
      <c r="D67" s="727"/>
      <c r="E67" s="727"/>
      <c r="F67" s="727"/>
      <c r="G67" s="582"/>
      <c r="H67" s="31"/>
      <c r="I67" s="31"/>
      <c r="J67" s="31"/>
      <c r="K67" s="31"/>
      <c r="L67" s="31"/>
      <c r="M67" s="31"/>
      <c r="N67" s="562"/>
    </row>
    <row r="68" spans="1:14" s="381" customFormat="1" ht="140.5" customHeight="1">
      <c r="A68" s="742" t="s">
        <v>498</v>
      </c>
      <c r="B68" s="743"/>
      <c r="C68" s="743"/>
      <c r="D68" s="743"/>
      <c r="E68" s="743"/>
      <c r="F68" s="744"/>
      <c r="G68" s="582"/>
      <c r="H68" s="31"/>
      <c r="I68" s="31"/>
      <c r="J68" s="31"/>
      <c r="K68" s="31"/>
      <c r="L68" s="31"/>
      <c r="M68" s="31"/>
      <c r="N68" s="562"/>
    </row>
    <row r="69" spans="1:14" s="381" customFormat="1" ht="105.8" customHeight="1" thickBot="1">
      <c r="A69" s="598"/>
      <c r="B69" s="599"/>
      <c r="C69" s="600"/>
      <c r="D69" s="599"/>
      <c r="E69" s="599"/>
      <c r="F69" s="599"/>
      <c r="G69" s="601"/>
      <c r="H69" s="31"/>
      <c r="I69" s="31"/>
      <c r="J69" s="31"/>
      <c r="K69" s="31"/>
      <c r="L69" s="31"/>
      <c r="M69" s="31"/>
      <c r="N69" s="562"/>
    </row>
    <row r="70" spans="1:14" s="381" customFormat="1">
      <c r="A70" s="31"/>
      <c r="B70" s="31"/>
      <c r="C70" s="32"/>
      <c r="D70" s="31"/>
      <c r="E70" s="31"/>
      <c r="F70" s="31"/>
      <c r="G70" s="31"/>
      <c r="H70" s="31"/>
      <c r="I70" s="31"/>
      <c r="J70" s="31"/>
      <c r="K70" s="31"/>
      <c r="L70" s="31"/>
      <c r="M70" s="31"/>
      <c r="N70" s="562"/>
    </row>
    <row r="71" spans="1:14" s="381" customFormat="1">
      <c r="C71" s="687"/>
    </row>
    <row r="72" spans="1:14" s="381" customFormat="1">
      <c r="C72" s="687"/>
    </row>
    <row r="73" spans="1:14" s="381" customFormat="1">
      <c r="C73" s="687"/>
    </row>
    <row r="74" spans="1:14" s="381" customFormat="1">
      <c r="C74" s="687"/>
    </row>
    <row r="75" spans="1:14" s="381" customFormat="1">
      <c r="C75" s="687"/>
    </row>
    <row r="76" spans="1:14" s="381" customFormat="1">
      <c r="C76" s="687"/>
    </row>
    <row r="77" spans="1:14" s="381" customFormat="1">
      <c r="C77" s="687"/>
    </row>
    <row r="78" spans="1:14" s="381" customFormat="1">
      <c r="C78" s="687"/>
    </row>
    <row r="79" spans="1:14" s="381" customFormat="1">
      <c r="C79" s="687"/>
    </row>
    <row r="80" spans="1:14" s="381" customFormat="1">
      <c r="C80" s="687"/>
    </row>
    <row r="81" spans="3:3" s="381" customFormat="1">
      <c r="C81" s="687"/>
    </row>
    <row r="82" spans="3:3" s="381" customFormat="1">
      <c r="C82" s="687"/>
    </row>
    <row r="83" spans="3:3" s="381" customFormat="1">
      <c r="C83" s="687"/>
    </row>
    <row r="84" spans="3:3" s="381" customFormat="1">
      <c r="C84" s="687"/>
    </row>
    <row r="85" spans="3:3" s="381" customFormat="1">
      <c r="C85" s="687"/>
    </row>
    <row r="86" spans="3:3" s="381" customFormat="1">
      <c r="C86" s="687"/>
    </row>
    <row r="87" spans="3:3" s="381" customFormat="1">
      <c r="C87" s="687"/>
    </row>
    <row r="88" spans="3:3" s="381" customFormat="1">
      <c r="C88" s="687"/>
    </row>
    <row r="89" spans="3:3" s="381" customFormat="1">
      <c r="C89" s="687"/>
    </row>
    <row r="90" spans="3:3" s="381" customFormat="1">
      <c r="C90" s="687"/>
    </row>
    <row r="91" spans="3:3" s="381" customFormat="1">
      <c r="C91" s="687"/>
    </row>
    <row r="92" spans="3:3" s="381" customFormat="1">
      <c r="C92" s="687"/>
    </row>
    <row r="93" spans="3:3" s="381" customFormat="1">
      <c r="C93" s="687"/>
    </row>
    <row r="94" spans="3:3" s="381" customFormat="1">
      <c r="C94" s="687"/>
    </row>
    <row r="95" spans="3:3" s="381" customFormat="1">
      <c r="C95" s="687"/>
    </row>
    <row r="96" spans="3:3" s="381" customFormat="1">
      <c r="C96" s="687"/>
    </row>
    <row r="97" spans="3:3" s="381" customFormat="1">
      <c r="C97" s="687"/>
    </row>
    <row r="98" spans="3:3" s="381" customFormat="1">
      <c r="C98" s="687"/>
    </row>
    <row r="99" spans="3:3" s="381" customFormat="1">
      <c r="C99" s="687"/>
    </row>
    <row r="100" spans="3:3" s="381" customFormat="1">
      <c r="C100" s="687"/>
    </row>
    <row r="101" spans="3:3" s="381" customFormat="1">
      <c r="C101" s="687"/>
    </row>
    <row r="102" spans="3:3" s="381" customFormat="1">
      <c r="C102" s="687"/>
    </row>
    <row r="103" spans="3:3" s="381" customFormat="1">
      <c r="C103" s="687"/>
    </row>
  </sheetData>
  <mergeCells count="17">
    <mergeCell ref="A1:N1"/>
    <mergeCell ref="A40:F40"/>
    <mergeCell ref="A41:F41"/>
    <mergeCell ref="A42:B42"/>
    <mergeCell ref="A48:F48"/>
    <mergeCell ref="A49:F49"/>
    <mergeCell ref="A52:F52"/>
    <mergeCell ref="A54:F54"/>
    <mergeCell ref="A55:F55"/>
    <mergeCell ref="A56:F56"/>
    <mergeCell ref="A67:F67"/>
    <mergeCell ref="A68:F68"/>
    <mergeCell ref="A58:E58"/>
    <mergeCell ref="A59:F59"/>
    <mergeCell ref="A63:F63"/>
    <mergeCell ref="A64:F64"/>
    <mergeCell ref="A65:F65"/>
  </mergeCells>
  <printOptions horizontalCentered="1"/>
  <pageMargins left="0.2" right="0.2" top="0.5" bottom="0.25" header="0.05" footer="0.05"/>
  <pageSetup scale="64" fitToHeight="0" orientation="landscape" r:id="rId1"/>
  <headerFooter>
    <oddHeader xml:space="preserve">&amp;CDRAFT NOT FOR DISTRIBUTION, INTERNAL USE ONLY
</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32.7109375" customWidth="1"/>
  </cols>
  <sheetData>
    <row r="1" spans="1:14" ht="15.6">
      <c r="A1" s="745" t="s">
        <v>482</v>
      </c>
      <c r="B1" s="745"/>
      <c r="C1" s="745"/>
      <c r="D1" s="745"/>
      <c r="E1" s="745"/>
      <c r="F1" s="745"/>
      <c r="G1" s="745"/>
      <c r="H1" s="745"/>
      <c r="I1" s="745"/>
      <c r="J1" s="745"/>
      <c r="K1" s="745"/>
      <c r="L1" s="745"/>
      <c r="M1" s="745"/>
      <c r="N1" s="745"/>
    </row>
    <row r="2" spans="1:14">
      <c r="A2" s="65" t="s">
        <v>499</v>
      </c>
      <c r="B2" s="381"/>
      <c r="C2" s="687"/>
      <c r="D2" s="381"/>
      <c r="E2" s="381"/>
      <c r="F2" s="381"/>
      <c r="G2" s="381"/>
      <c r="H2" s="381"/>
      <c r="I2" s="381"/>
      <c r="J2" s="381"/>
      <c r="K2" s="381"/>
      <c r="L2" s="381"/>
      <c r="M2" s="381"/>
      <c r="N2" s="381"/>
    </row>
    <row r="3" spans="1:14" ht="25.25">
      <c r="A3" s="528" t="s">
        <v>500</v>
      </c>
      <c r="B3" s="381"/>
      <c r="C3" s="687"/>
      <c r="D3" s="381"/>
      <c r="E3" s="381"/>
      <c r="F3" s="554" t="s">
        <v>275</v>
      </c>
      <c r="G3" s="381"/>
      <c r="H3" s="381"/>
      <c r="I3" s="381"/>
      <c r="J3" s="381"/>
      <c r="K3" s="381"/>
      <c r="L3" s="381"/>
      <c r="M3" s="381"/>
      <c r="N3" s="381"/>
    </row>
    <row r="4" spans="1:14">
      <c r="A4" s="528" t="s">
        <v>404</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254"/>
    </row>
    <row r="17" spans="1:14">
      <c r="A17" s="69" t="s">
        <v>289</v>
      </c>
      <c r="B17" s="70"/>
      <c r="C17" s="71"/>
      <c r="D17" s="70"/>
      <c r="E17" s="70"/>
      <c r="F17" s="72"/>
      <c r="G17" s="72"/>
      <c r="H17" s="72"/>
      <c r="I17" s="72"/>
      <c r="J17" s="72"/>
      <c r="K17" s="72"/>
      <c r="L17" s="72"/>
      <c r="M17" s="72"/>
      <c r="N17" s="72"/>
    </row>
    <row r="18" spans="1:14" ht="118.8">
      <c r="A18" s="73" t="s">
        <v>501</v>
      </c>
      <c r="B18" s="73"/>
      <c r="C18" s="44">
        <v>253</v>
      </c>
      <c r="D18" s="45"/>
      <c r="E18" s="263">
        <v>200</v>
      </c>
      <c r="F18" s="357">
        <f>SUM(G18:M18)</f>
        <v>200</v>
      </c>
      <c r="G18" s="310">
        <v>0</v>
      </c>
      <c r="H18" s="310">
        <v>200</v>
      </c>
      <c r="I18" s="310">
        <v>0</v>
      </c>
      <c r="J18" s="310">
        <v>0</v>
      </c>
      <c r="K18" s="310">
        <v>0</v>
      </c>
      <c r="L18" s="310"/>
      <c r="M18" s="311">
        <v>0</v>
      </c>
      <c r="N18" s="327" t="s">
        <v>502</v>
      </c>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7" customFormat="1">
      <c r="A21" s="264" t="s">
        <v>411</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2">
        <f>SUM(E18:E21)</f>
        <v>200</v>
      </c>
      <c r="F22" s="43">
        <f>SUM(F18:F21)</f>
        <v>200</v>
      </c>
      <c r="G22" s="43">
        <f t="shared" ref="G22:M22" si="2">SUM(G18:G21)</f>
        <v>0</v>
      </c>
      <c r="H22" s="43">
        <f t="shared" si="2"/>
        <v>200</v>
      </c>
      <c r="I22" s="43">
        <f t="shared" si="2"/>
        <v>0</v>
      </c>
      <c r="J22" s="43">
        <f t="shared" si="2"/>
        <v>0</v>
      </c>
      <c r="K22" s="43">
        <f t="shared" si="2"/>
        <v>0</v>
      </c>
      <c r="L22" s="43">
        <f t="shared" si="2"/>
        <v>0</v>
      </c>
      <c r="M22" s="43">
        <f t="shared" si="2"/>
        <v>0</v>
      </c>
      <c r="N22" s="355"/>
    </row>
    <row r="23" spans="1:14" s="7" customFormat="1">
      <c r="A23" s="127" t="s">
        <v>356</v>
      </c>
      <c r="B23" s="128"/>
      <c r="C23" s="128"/>
      <c r="D23" s="128"/>
      <c r="E23" s="89"/>
      <c r="F23" s="89"/>
      <c r="G23" s="89"/>
      <c r="H23" s="89"/>
      <c r="I23" s="89"/>
      <c r="J23" s="89"/>
      <c r="K23" s="89"/>
      <c r="L23" s="89"/>
      <c r="M23" s="89"/>
      <c r="N23" s="130"/>
    </row>
    <row r="24" spans="1:14" ht="15.05" customHeight="1">
      <c r="A24" s="264" t="s">
        <v>296</v>
      </c>
      <c r="B24" s="36"/>
      <c r="C24" s="37" t="s">
        <v>297</v>
      </c>
      <c r="D24" s="38">
        <v>0</v>
      </c>
      <c r="E24" s="263">
        <v>0</v>
      </c>
      <c r="F24" s="357">
        <f t="shared" ref="F24:F37" si="3">SUM(G24:M24)</f>
        <v>0</v>
      </c>
      <c r="G24" s="310">
        <v>0</v>
      </c>
      <c r="H24" s="310">
        <v>0</v>
      </c>
      <c r="I24" s="310">
        <v>0</v>
      </c>
      <c r="J24" s="310">
        <v>0</v>
      </c>
      <c r="K24" s="310">
        <v>0</v>
      </c>
      <c r="L24" s="310">
        <v>0</v>
      </c>
      <c r="M24" s="311">
        <v>0</v>
      </c>
      <c r="N24" s="325"/>
    </row>
    <row r="25" spans="1:14">
      <c r="A25" s="264" t="s">
        <v>298</v>
      </c>
      <c r="B25" s="36"/>
      <c r="C25" s="44" t="s">
        <v>299</v>
      </c>
      <c r="D25" s="45"/>
      <c r="E25" s="263">
        <v>0</v>
      </c>
      <c r="F25" s="357">
        <f t="shared" si="3"/>
        <v>0</v>
      </c>
      <c r="G25" s="310">
        <v>0</v>
      </c>
      <c r="H25" s="310">
        <v>0</v>
      </c>
      <c r="I25" s="310">
        <v>0</v>
      </c>
      <c r="J25" s="310">
        <v>0</v>
      </c>
      <c r="K25" s="310">
        <v>0</v>
      </c>
      <c r="L25" s="310">
        <v>0</v>
      </c>
      <c r="M25" s="311">
        <v>0</v>
      </c>
      <c r="N25" s="355"/>
    </row>
    <row r="26" spans="1:14">
      <c r="A26" s="264" t="s">
        <v>300</v>
      </c>
      <c r="B26" s="36"/>
      <c r="C26" s="44" t="s">
        <v>301</v>
      </c>
      <c r="D26" s="45"/>
      <c r="E26" s="263">
        <v>0</v>
      </c>
      <c r="F26" s="357">
        <f t="shared" si="3"/>
        <v>0</v>
      </c>
      <c r="G26" s="310">
        <v>0</v>
      </c>
      <c r="H26" s="310">
        <v>0</v>
      </c>
      <c r="I26" s="310">
        <v>0</v>
      </c>
      <c r="J26" s="310">
        <v>0</v>
      </c>
      <c r="K26" s="310">
        <v>0</v>
      </c>
      <c r="L26" s="310">
        <v>0</v>
      </c>
      <c r="M26" s="311">
        <v>0</v>
      </c>
      <c r="N26" s="355"/>
    </row>
    <row r="27" spans="1:14">
      <c r="A27" s="264" t="s">
        <v>302</v>
      </c>
      <c r="B27" s="36"/>
      <c r="C27" s="44" t="s">
        <v>303</v>
      </c>
      <c r="D27" s="45"/>
      <c r="E27" s="263">
        <v>0</v>
      </c>
      <c r="F27" s="357">
        <f t="shared" si="3"/>
        <v>0</v>
      </c>
      <c r="G27" s="310">
        <v>0</v>
      </c>
      <c r="H27" s="310">
        <v>0</v>
      </c>
      <c r="I27" s="310">
        <v>0</v>
      </c>
      <c r="J27" s="310">
        <v>0</v>
      </c>
      <c r="K27" s="310">
        <v>0</v>
      </c>
      <c r="L27" s="310">
        <v>0</v>
      </c>
      <c r="M27" s="311">
        <v>0</v>
      </c>
      <c r="N27" s="355"/>
    </row>
    <row r="28" spans="1:14">
      <c r="A28" s="264" t="s">
        <v>304</v>
      </c>
      <c r="B28" s="36"/>
      <c r="C28" s="44">
        <v>251</v>
      </c>
      <c r="D28" s="45"/>
      <c r="E28" s="263">
        <v>0</v>
      </c>
      <c r="F28" s="357">
        <f t="shared" si="3"/>
        <v>0</v>
      </c>
      <c r="G28" s="310">
        <v>0</v>
      </c>
      <c r="H28" s="310">
        <v>0</v>
      </c>
      <c r="I28" s="310">
        <v>0</v>
      </c>
      <c r="J28" s="310">
        <v>0</v>
      </c>
      <c r="K28" s="310">
        <v>0</v>
      </c>
      <c r="L28" s="310">
        <v>0</v>
      </c>
      <c r="M28" s="311">
        <v>0</v>
      </c>
      <c r="N28" s="355"/>
    </row>
    <row r="29" spans="1:14">
      <c r="A29" s="264" t="s">
        <v>313</v>
      </c>
      <c r="B29" s="36"/>
      <c r="C29" s="44">
        <v>252</v>
      </c>
      <c r="D29" s="45"/>
      <c r="E29" s="263">
        <v>0</v>
      </c>
      <c r="F29" s="357">
        <f t="shared" si="3"/>
        <v>0</v>
      </c>
      <c r="G29" s="310">
        <v>0</v>
      </c>
      <c r="H29" s="310">
        <v>0</v>
      </c>
      <c r="I29" s="310">
        <v>0</v>
      </c>
      <c r="J29" s="310">
        <v>0</v>
      </c>
      <c r="K29" s="310">
        <v>0</v>
      </c>
      <c r="L29" s="310">
        <v>0</v>
      </c>
      <c r="M29" s="311">
        <v>0</v>
      </c>
      <c r="N29" s="355"/>
    </row>
    <row r="30" spans="1:14">
      <c r="A30" s="264" t="s">
        <v>314</v>
      </c>
      <c r="B30" s="36"/>
      <c r="C30" s="44">
        <v>252</v>
      </c>
      <c r="D30" s="45"/>
      <c r="E30" s="263">
        <v>0</v>
      </c>
      <c r="F30" s="357">
        <f t="shared" si="3"/>
        <v>0</v>
      </c>
      <c r="G30" s="310">
        <v>0</v>
      </c>
      <c r="H30" s="310">
        <v>0</v>
      </c>
      <c r="I30" s="310">
        <v>0</v>
      </c>
      <c r="J30" s="310">
        <v>0</v>
      </c>
      <c r="K30" s="310">
        <v>0</v>
      </c>
      <c r="L30" s="310">
        <v>0</v>
      </c>
      <c r="M30" s="311">
        <v>0</v>
      </c>
      <c r="N30" s="355"/>
    </row>
    <row r="31" spans="1:14">
      <c r="A31" s="264" t="s">
        <v>315</v>
      </c>
      <c r="B31" s="36"/>
      <c r="C31" s="44">
        <v>253</v>
      </c>
      <c r="D31" s="264"/>
      <c r="E31" s="263">
        <v>0</v>
      </c>
      <c r="F31" s="357">
        <f t="shared" si="3"/>
        <v>0</v>
      </c>
      <c r="G31" s="310">
        <v>0</v>
      </c>
      <c r="H31" s="310">
        <v>0</v>
      </c>
      <c r="I31" s="310">
        <v>0</v>
      </c>
      <c r="J31" s="310">
        <v>0</v>
      </c>
      <c r="K31" s="310">
        <v>0</v>
      </c>
      <c r="L31" s="310">
        <v>0</v>
      </c>
      <c r="M31" s="311">
        <v>0</v>
      </c>
      <c r="N31" s="355"/>
    </row>
    <row r="32" spans="1:14">
      <c r="A32" s="264" t="s">
        <v>316</v>
      </c>
      <c r="B32" s="36"/>
      <c r="C32" s="44">
        <v>255</v>
      </c>
      <c r="D32" s="264"/>
      <c r="E32" s="263">
        <v>0</v>
      </c>
      <c r="F32" s="357">
        <f t="shared" si="3"/>
        <v>0</v>
      </c>
      <c r="G32" s="310">
        <v>0</v>
      </c>
      <c r="H32" s="310">
        <v>0</v>
      </c>
      <c r="I32" s="310">
        <v>0</v>
      </c>
      <c r="J32" s="310">
        <v>0</v>
      </c>
      <c r="K32" s="310">
        <v>0</v>
      </c>
      <c r="L32" s="310">
        <v>0</v>
      </c>
      <c r="M32" s="311">
        <v>0</v>
      </c>
      <c r="N32" s="355"/>
    </row>
    <row r="33" spans="1:14">
      <c r="A33" s="264" t="s">
        <v>317</v>
      </c>
      <c r="B33" s="36"/>
      <c r="C33" s="44">
        <v>256</v>
      </c>
      <c r="D33" s="264"/>
      <c r="E33" s="263">
        <v>0</v>
      </c>
      <c r="F33" s="357">
        <f t="shared" si="3"/>
        <v>0</v>
      </c>
      <c r="G33" s="310">
        <v>0</v>
      </c>
      <c r="H33" s="310">
        <v>0</v>
      </c>
      <c r="I33" s="310">
        <v>0</v>
      </c>
      <c r="J33" s="310">
        <v>0</v>
      </c>
      <c r="K33" s="310">
        <v>0</v>
      </c>
      <c r="L33" s="310">
        <v>0</v>
      </c>
      <c r="M33" s="311">
        <v>0</v>
      </c>
      <c r="N33" s="355"/>
    </row>
    <row r="34" spans="1:14">
      <c r="A34" s="264" t="s">
        <v>318</v>
      </c>
      <c r="B34" s="36"/>
      <c r="C34" s="44">
        <v>257</v>
      </c>
      <c r="D34" s="264"/>
      <c r="E34" s="263">
        <v>0</v>
      </c>
      <c r="F34" s="357">
        <f t="shared" si="3"/>
        <v>0</v>
      </c>
      <c r="G34" s="310">
        <v>0</v>
      </c>
      <c r="H34" s="310">
        <v>0</v>
      </c>
      <c r="I34" s="310">
        <v>0</v>
      </c>
      <c r="J34" s="310">
        <v>0</v>
      </c>
      <c r="K34" s="310">
        <v>0</v>
      </c>
      <c r="L34" s="310">
        <v>0</v>
      </c>
      <c r="M34" s="311">
        <v>0</v>
      </c>
      <c r="N34" s="355"/>
    </row>
    <row r="35" spans="1:14">
      <c r="A35" s="264" t="s">
        <v>319</v>
      </c>
      <c r="B35" s="36"/>
      <c r="C35" s="44" t="s">
        <v>320</v>
      </c>
      <c r="D35" s="264"/>
      <c r="E35" s="263">
        <v>0</v>
      </c>
      <c r="F35" s="357">
        <f t="shared" si="3"/>
        <v>0</v>
      </c>
      <c r="G35" s="310">
        <v>0</v>
      </c>
      <c r="H35" s="310">
        <v>0</v>
      </c>
      <c r="I35" s="310">
        <v>0</v>
      </c>
      <c r="J35" s="310">
        <v>0</v>
      </c>
      <c r="K35" s="310">
        <v>0</v>
      </c>
      <c r="L35" s="310">
        <v>0</v>
      </c>
      <c r="M35" s="311">
        <v>0</v>
      </c>
      <c r="N35" s="355"/>
    </row>
    <row r="36" spans="1:14" s="381" customFormat="1">
      <c r="A36" s="265" t="s">
        <v>321</v>
      </c>
      <c r="B36" s="36"/>
      <c r="C36" s="266" t="s">
        <v>322</v>
      </c>
      <c r="D36" s="265"/>
      <c r="E36" s="263">
        <v>0</v>
      </c>
      <c r="F36" s="357">
        <f t="shared" si="3"/>
        <v>0</v>
      </c>
      <c r="G36" s="310">
        <v>0</v>
      </c>
      <c r="H36" s="310">
        <v>0</v>
      </c>
      <c r="I36" s="310">
        <v>0</v>
      </c>
      <c r="J36" s="310">
        <v>0</v>
      </c>
      <c r="K36" s="310">
        <v>0</v>
      </c>
      <c r="L36" s="310">
        <v>0</v>
      </c>
      <c r="M36" s="311">
        <v>0</v>
      </c>
      <c r="N36" s="355"/>
    </row>
    <row r="37" spans="1:14">
      <c r="A37" s="265" t="s">
        <v>323</v>
      </c>
      <c r="B37" s="36"/>
      <c r="C37" s="266" t="s">
        <v>324</v>
      </c>
      <c r="D37" s="265"/>
      <c r="E37" s="263">
        <v>-50</v>
      </c>
      <c r="F37" s="357">
        <f t="shared" si="3"/>
        <v>0</v>
      </c>
      <c r="G37" s="310">
        <v>0</v>
      </c>
      <c r="H37" s="310">
        <v>0</v>
      </c>
      <c r="I37" s="310">
        <v>0</v>
      </c>
      <c r="J37" s="310">
        <v>0</v>
      </c>
      <c r="K37" s="310">
        <v>0</v>
      </c>
      <c r="L37" s="310">
        <v>0</v>
      </c>
      <c r="M37" s="311">
        <v>0</v>
      </c>
      <c r="N37" s="355" t="s">
        <v>503</v>
      </c>
    </row>
    <row r="38" spans="1:14">
      <c r="A38" s="40" t="s">
        <v>326</v>
      </c>
      <c r="B38" s="265"/>
      <c r="C38" s="266"/>
      <c r="D38" s="267"/>
      <c r="E38" s="263">
        <f t="shared" ref="E38:M38" si="4">SUM(E24:E37)</f>
        <v>-50</v>
      </c>
      <c r="F38" s="43">
        <f t="shared" si="4"/>
        <v>0</v>
      </c>
      <c r="G38" s="43">
        <f t="shared" si="4"/>
        <v>0</v>
      </c>
      <c r="H38" s="43">
        <f t="shared" si="4"/>
        <v>0</v>
      </c>
      <c r="I38" s="43">
        <f t="shared" si="4"/>
        <v>0</v>
      </c>
      <c r="J38" s="43">
        <f t="shared" si="4"/>
        <v>0</v>
      </c>
      <c r="K38" s="43">
        <f t="shared" si="4"/>
        <v>0</v>
      </c>
      <c r="L38" s="43">
        <f t="shared" si="4"/>
        <v>0</v>
      </c>
      <c r="M38" s="43">
        <f t="shared" si="4"/>
        <v>0</v>
      </c>
      <c r="N38" s="355"/>
    </row>
    <row r="39" spans="1:14" s="151" customFormat="1">
      <c r="A39" s="40" t="s">
        <v>327</v>
      </c>
      <c r="B39" s="51"/>
      <c r="C39" s="149"/>
      <c r="D39" s="267"/>
      <c r="E39" s="241">
        <v>0</v>
      </c>
      <c r="F39" s="240">
        <v>0</v>
      </c>
      <c r="G39" s="240"/>
      <c r="H39" s="240">
        <v>0</v>
      </c>
      <c r="I39" s="240"/>
      <c r="J39" s="240"/>
      <c r="K39" s="240"/>
      <c r="L39" s="240"/>
      <c r="M39" s="240"/>
      <c r="N39" s="355"/>
    </row>
    <row r="40" spans="1:14">
      <c r="A40" s="40" t="s">
        <v>328</v>
      </c>
      <c r="B40" s="46"/>
      <c r="C40" s="47"/>
      <c r="D40" s="48">
        <f>D38+D22+D16</f>
        <v>0</v>
      </c>
      <c r="E40" s="42">
        <f>+E38+E22+E16-E39</f>
        <v>150</v>
      </c>
      <c r="F40" s="17">
        <f t="shared" ref="F40:M40" si="5">F38+F22+F16-F39</f>
        <v>200</v>
      </c>
      <c r="G40" s="17">
        <f t="shared" si="5"/>
        <v>0</v>
      </c>
      <c r="H40" s="17">
        <f t="shared" si="5"/>
        <v>200</v>
      </c>
      <c r="I40" s="17">
        <f t="shared" si="5"/>
        <v>0</v>
      </c>
      <c r="J40" s="17">
        <f t="shared" si="5"/>
        <v>0</v>
      </c>
      <c r="K40" s="17">
        <f t="shared" si="5"/>
        <v>0</v>
      </c>
      <c r="L40" s="17">
        <f t="shared" si="5"/>
        <v>0</v>
      </c>
      <c r="M40" s="17">
        <f t="shared" si="5"/>
        <v>0</v>
      </c>
      <c r="N40" s="353"/>
    </row>
    <row r="43" spans="1:14" s="381" customFormat="1" ht="15.6" thickBot="1">
      <c r="A43" s="31"/>
      <c r="B43" s="31"/>
      <c r="C43" s="32"/>
      <c r="D43" s="31"/>
      <c r="E43" s="31"/>
      <c r="F43" s="31"/>
      <c r="G43" s="31"/>
      <c r="H43" s="31"/>
      <c r="I43" s="31"/>
      <c r="J43" s="31"/>
      <c r="K43" s="31"/>
      <c r="L43" s="31"/>
      <c r="M43" s="31"/>
      <c r="N43" s="562"/>
    </row>
    <row r="44" spans="1:14" s="381" customFormat="1" ht="15.6">
      <c r="A44" s="764" t="s">
        <v>330</v>
      </c>
      <c r="B44" s="765"/>
      <c r="C44" s="765"/>
      <c r="D44" s="765"/>
      <c r="E44" s="765"/>
      <c r="F44" s="765"/>
      <c r="G44" s="581"/>
      <c r="H44" s="31"/>
      <c r="I44" s="31"/>
      <c r="J44" s="31"/>
      <c r="K44" s="31"/>
      <c r="L44" s="31"/>
      <c r="M44" s="31"/>
      <c r="N44" s="562"/>
    </row>
    <row r="45" spans="1:14" s="381" customFormat="1" ht="15.6">
      <c r="A45" s="738"/>
      <c r="B45" s="739"/>
      <c r="C45" s="739"/>
      <c r="D45" s="739"/>
      <c r="E45" s="739"/>
      <c r="F45" s="739"/>
      <c r="G45" s="582"/>
      <c r="H45" s="31"/>
      <c r="I45" s="31"/>
      <c r="J45" s="31"/>
      <c r="K45" s="31"/>
      <c r="L45" s="31"/>
      <c r="M45" s="31"/>
      <c r="N45" s="562"/>
    </row>
    <row r="46" spans="1:14" s="381" customFormat="1">
      <c r="A46" s="740" t="s">
        <v>331</v>
      </c>
      <c r="B46" s="741"/>
      <c r="C46" s="583"/>
      <c r="D46" s="583"/>
      <c r="E46" s="583"/>
      <c r="F46" s="583"/>
      <c r="G46" s="582"/>
      <c r="H46" s="31"/>
      <c r="I46" s="31"/>
      <c r="J46" s="31"/>
      <c r="K46" s="31"/>
      <c r="L46" s="31"/>
      <c r="M46" s="31"/>
      <c r="N46" s="562"/>
    </row>
    <row r="47" spans="1:14" s="381" customFormat="1">
      <c r="A47" s="584" t="s">
        <v>361</v>
      </c>
      <c r="B47" s="585">
        <f>E40</f>
        <v>150</v>
      </c>
      <c r="C47" s="586"/>
      <c r="D47" s="587"/>
      <c r="E47" s="587"/>
      <c r="F47" s="587"/>
      <c r="G47" s="582"/>
      <c r="H47" s="31"/>
      <c r="I47" s="31"/>
      <c r="J47" s="31"/>
      <c r="K47" s="31"/>
      <c r="L47" s="31"/>
      <c r="M47" s="31"/>
      <c r="N47" s="562"/>
    </row>
    <row r="48" spans="1:14" s="381" customFormat="1">
      <c r="A48" s="588" t="s">
        <v>362</v>
      </c>
      <c r="B48" s="589">
        <f>F40</f>
        <v>200</v>
      </c>
      <c r="C48" s="586"/>
      <c r="D48" s="587"/>
      <c r="E48" s="587"/>
      <c r="F48" s="587"/>
      <c r="G48" s="582"/>
      <c r="H48" s="31"/>
      <c r="I48" s="31"/>
      <c r="J48" s="31"/>
      <c r="K48" s="31"/>
      <c r="L48" s="31"/>
      <c r="M48" s="31"/>
      <c r="N48" s="562"/>
    </row>
    <row r="49" spans="1:14" s="381" customFormat="1">
      <c r="A49" s="590" t="s">
        <v>334</v>
      </c>
      <c r="B49" s="591">
        <f>B48-B47</f>
        <v>50</v>
      </c>
      <c r="C49" s="586"/>
      <c r="D49" s="587"/>
      <c r="E49" s="587"/>
      <c r="F49" s="587"/>
      <c r="G49" s="582"/>
      <c r="H49" s="31"/>
      <c r="I49" s="31"/>
      <c r="J49" s="31"/>
      <c r="K49" s="31"/>
      <c r="L49" s="31"/>
      <c r="M49" s="31"/>
      <c r="N49" s="562"/>
    </row>
    <row r="50" spans="1:14" s="381" customFormat="1">
      <c r="A50" s="590" t="s">
        <v>335</v>
      </c>
      <c r="B50" s="592">
        <f>B49/B47</f>
        <v>0.33333333333333331</v>
      </c>
      <c r="C50" s="586"/>
      <c r="D50" s="587"/>
      <c r="E50" s="587"/>
      <c r="F50" s="587"/>
      <c r="G50" s="582"/>
      <c r="H50" s="31"/>
      <c r="I50" s="31"/>
      <c r="J50" s="31"/>
      <c r="K50" s="31"/>
      <c r="L50" s="31"/>
      <c r="M50" s="31"/>
      <c r="N50" s="562"/>
    </row>
    <row r="51" spans="1:14" s="381" customFormat="1">
      <c r="A51" s="593"/>
      <c r="B51" s="587"/>
      <c r="C51" s="686"/>
      <c r="D51" s="587"/>
      <c r="E51" s="587"/>
      <c r="F51" s="587"/>
      <c r="G51" s="582"/>
      <c r="H51" s="31"/>
      <c r="I51" s="31"/>
      <c r="J51" s="31"/>
      <c r="K51" s="31"/>
      <c r="L51" s="31"/>
      <c r="M51" s="31"/>
      <c r="N51" s="562"/>
    </row>
    <row r="52" spans="1:14" s="381" customFormat="1">
      <c r="A52" s="731" t="s">
        <v>336</v>
      </c>
      <c r="B52" s="732"/>
      <c r="C52" s="732"/>
      <c r="D52" s="732"/>
      <c r="E52" s="732"/>
      <c r="F52" s="732"/>
      <c r="G52" s="582"/>
      <c r="H52" s="31"/>
      <c r="I52" s="31"/>
      <c r="J52" s="31"/>
      <c r="K52" s="31"/>
      <c r="L52" s="31"/>
      <c r="M52" s="31"/>
      <c r="N52" s="562"/>
    </row>
    <row r="53" spans="1:14" s="381" customFormat="1" ht="31.2" customHeight="1">
      <c r="A53" s="742" t="s">
        <v>504</v>
      </c>
      <c r="B53" s="743"/>
      <c r="C53" s="743"/>
      <c r="D53" s="743"/>
      <c r="E53" s="743"/>
      <c r="F53" s="744"/>
      <c r="G53" s="582"/>
      <c r="H53" s="31"/>
      <c r="I53" s="31"/>
      <c r="J53" s="31"/>
      <c r="K53" s="31"/>
      <c r="L53" s="31"/>
      <c r="M53" s="31"/>
      <c r="N53" s="562"/>
    </row>
    <row r="54" spans="1:14" s="381" customFormat="1">
      <c r="A54" s="594"/>
      <c r="B54" s="595"/>
      <c r="C54" s="595"/>
      <c r="D54" s="595"/>
      <c r="E54" s="595"/>
      <c r="F54" s="595"/>
      <c r="G54" s="582"/>
      <c r="H54" s="31"/>
      <c r="I54" s="31"/>
      <c r="J54" s="31"/>
      <c r="K54" s="31"/>
      <c r="L54" s="31"/>
      <c r="M54" s="31"/>
      <c r="N54" s="562"/>
    </row>
    <row r="55" spans="1:14" s="381" customFormat="1">
      <c r="A55" s="596" t="s">
        <v>337</v>
      </c>
      <c r="B55" s="587"/>
      <c r="C55" s="686"/>
      <c r="D55" s="587"/>
      <c r="E55" s="587"/>
      <c r="F55" s="587"/>
      <c r="G55" s="582"/>
      <c r="H55" s="31"/>
      <c r="I55" s="31"/>
      <c r="J55" s="31"/>
      <c r="K55" s="31"/>
      <c r="L55" s="31"/>
      <c r="M55" s="31"/>
      <c r="N55" s="562"/>
    </row>
    <row r="56" spans="1:14" s="381" customFormat="1" ht="126.2" customHeight="1">
      <c r="A56" s="742" t="s">
        <v>505</v>
      </c>
      <c r="B56" s="743"/>
      <c r="C56" s="743"/>
      <c r="D56" s="743"/>
      <c r="E56" s="743"/>
      <c r="F56" s="744"/>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365</v>
      </c>
      <c r="B58" s="732"/>
      <c r="C58" s="732"/>
      <c r="D58" s="732"/>
      <c r="E58" s="732"/>
      <c r="F58" s="732"/>
      <c r="G58" s="582"/>
      <c r="H58" s="31"/>
      <c r="I58" s="31"/>
      <c r="J58" s="31"/>
      <c r="K58" s="31"/>
      <c r="L58" s="31"/>
      <c r="M58" s="31"/>
      <c r="N58" s="562"/>
    </row>
    <row r="59" spans="1:14" s="381" customFormat="1">
      <c r="A59" s="733" t="s">
        <v>339</v>
      </c>
      <c r="B59" s="734"/>
      <c r="C59" s="734"/>
      <c r="D59" s="734"/>
      <c r="E59" s="734"/>
      <c r="F59" s="734"/>
      <c r="G59" s="582"/>
      <c r="H59" s="31"/>
      <c r="I59" s="31"/>
      <c r="J59" s="31"/>
      <c r="K59" s="31"/>
      <c r="L59" s="31"/>
      <c r="M59" s="31"/>
      <c r="N59" s="562"/>
    </row>
    <row r="60" spans="1:14" s="381" customFormat="1" ht="66.25" customHeight="1">
      <c r="A60" s="742" t="s">
        <v>506</v>
      </c>
      <c r="B60" s="736"/>
      <c r="C60" s="736"/>
      <c r="D60" s="736"/>
      <c r="E60" s="736"/>
      <c r="F60" s="737"/>
      <c r="G60" s="582"/>
      <c r="H60" s="31"/>
      <c r="I60" s="31"/>
      <c r="J60" s="31"/>
      <c r="K60" s="31"/>
      <c r="L60" s="31"/>
      <c r="M60" s="31"/>
      <c r="N60" s="562"/>
    </row>
    <row r="61" spans="1:14" s="381" customFormat="1">
      <c r="A61" s="596"/>
      <c r="B61" s="587"/>
      <c r="C61" s="686"/>
      <c r="D61" s="587"/>
      <c r="E61" s="587"/>
      <c r="F61" s="587"/>
      <c r="G61" s="582"/>
      <c r="H61" s="31"/>
      <c r="I61" s="31"/>
      <c r="J61" s="31"/>
      <c r="K61" s="31"/>
      <c r="L61" s="31"/>
      <c r="M61" s="31"/>
      <c r="N61" s="562"/>
    </row>
    <row r="62" spans="1:14" s="381" customFormat="1">
      <c r="A62" s="731" t="s">
        <v>340</v>
      </c>
      <c r="B62" s="732"/>
      <c r="C62" s="732"/>
      <c r="D62" s="732"/>
      <c r="E62" s="732"/>
      <c r="F62" s="587"/>
      <c r="G62" s="582"/>
      <c r="H62" s="31"/>
      <c r="I62" s="31"/>
      <c r="J62" s="31"/>
      <c r="K62" s="31"/>
      <c r="L62" s="31"/>
      <c r="M62" s="31"/>
      <c r="N62" s="562"/>
    </row>
    <row r="63" spans="1:14" s="381" customFormat="1" ht="17.100000000000001" customHeight="1">
      <c r="A63" s="728" t="s">
        <v>507</v>
      </c>
      <c r="B63" s="729"/>
      <c r="C63" s="729"/>
      <c r="D63" s="729"/>
      <c r="E63" s="729"/>
      <c r="F63" s="730"/>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596" t="s">
        <v>341</v>
      </c>
      <c r="B65" s="587"/>
      <c r="C65" s="686"/>
      <c r="D65" s="587"/>
      <c r="E65" s="587"/>
      <c r="F65" s="587"/>
      <c r="G65" s="582"/>
      <c r="H65" s="31"/>
      <c r="I65" s="31"/>
      <c r="J65" s="31"/>
      <c r="K65" s="31"/>
      <c r="L65" s="31"/>
      <c r="M65" s="31"/>
      <c r="N65" s="562"/>
    </row>
    <row r="66" spans="1:14" s="381" customFormat="1">
      <c r="A66" s="597" t="s">
        <v>342</v>
      </c>
      <c r="B66" s="587"/>
      <c r="C66" s="686"/>
      <c r="D66" s="587"/>
      <c r="E66" s="587"/>
      <c r="F66" s="587"/>
      <c r="G66" s="582"/>
      <c r="H66" s="31"/>
      <c r="I66" s="31"/>
      <c r="J66" s="31"/>
      <c r="K66" s="31"/>
      <c r="L66" s="31"/>
      <c r="M66" s="31"/>
      <c r="N66" s="562"/>
    </row>
    <row r="67" spans="1:14" s="381" customFormat="1" ht="26.2" customHeight="1">
      <c r="A67" s="719" t="s">
        <v>368</v>
      </c>
      <c r="B67" s="720"/>
      <c r="C67" s="720"/>
      <c r="D67" s="720"/>
      <c r="E67" s="720"/>
      <c r="F67" s="720"/>
      <c r="G67" s="582"/>
      <c r="H67" s="31"/>
      <c r="I67" s="31"/>
      <c r="J67" s="31"/>
      <c r="K67" s="31"/>
      <c r="L67" s="31"/>
      <c r="M67" s="31"/>
      <c r="N67" s="562"/>
    </row>
    <row r="68" spans="1:14" s="381" customFormat="1" ht="18.600000000000001" customHeight="1">
      <c r="A68" s="742" t="s">
        <v>508</v>
      </c>
      <c r="B68" s="743"/>
      <c r="C68" s="743"/>
      <c r="D68" s="743"/>
      <c r="E68" s="743"/>
      <c r="F68" s="744"/>
      <c r="G68" s="582"/>
      <c r="H68" s="31"/>
      <c r="I68" s="31"/>
      <c r="J68" s="31"/>
      <c r="K68" s="31"/>
      <c r="L68" s="31"/>
      <c r="M68" s="31"/>
      <c r="N68" s="562"/>
    </row>
    <row r="69" spans="1:14" s="381" customFormat="1">
      <c r="A69" s="724"/>
      <c r="B69" s="725"/>
      <c r="C69" s="725"/>
      <c r="D69" s="725"/>
      <c r="E69" s="725"/>
      <c r="F69" s="725"/>
      <c r="G69" s="582"/>
      <c r="H69" s="31"/>
      <c r="I69" s="31"/>
      <c r="J69" s="31"/>
      <c r="K69" s="31"/>
      <c r="L69" s="31"/>
      <c r="M69" s="31"/>
      <c r="N69" s="562"/>
    </row>
    <row r="70" spans="1:14" s="381" customFormat="1">
      <c r="A70" s="597" t="s">
        <v>344</v>
      </c>
      <c r="B70" s="587"/>
      <c r="C70" s="686"/>
      <c r="D70" s="587"/>
      <c r="E70" s="587"/>
      <c r="F70" s="587"/>
      <c r="G70" s="582"/>
      <c r="H70" s="31"/>
      <c r="I70" s="31"/>
      <c r="J70" s="31"/>
      <c r="K70" s="31"/>
      <c r="L70" s="31"/>
      <c r="M70" s="31"/>
      <c r="N70" s="562"/>
    </row>
    <row r="71" spans="1:14" s="381" customFormat="1" ht="28.8" customHeight="1">
      <c r="A71" s="726" t="s">
        <v>345</v>
      </c>
      <c r="B71" s="727"/>
      <c r="C71" s="727"/>
      <c r="D71" s="727"/>
      <c r="E71" s="727"/>
      <c r="F71" s="727"/>
      <c r="G71" s="582"/>
      <c r="H71" s="31"/>
      <c r="I71" s="31"/>
      <c r="J71" s="31"/>
      <c r="K71" s="31"/>
      <c r="L71" s="31"/>
      <c r="M71" s="31"/>
      <c r="N71" s="562"/>
    </row>
    <row r="72" spans="1:14" s="381" customFormat="1" ht="30.8" customHeight="1">
      <c r="A72" s="766" t="s">
        <v>509</v>
      </c>
      <c r="B72" s="767"/>
      <c r="C72" s="767"/>
      <c r="D72" s="767"/>
      <c r="E72" s="767"/>
      <c r="F72" s="768"/>
      <c r="G72" s="582"/>
      <c r="H72" s="31"/>
      <c r="I72" s="31"/>
      <c r="J72" s="31"/>
      <c r="K72" s="31"/>
      <c r="L72" s="31"/>
      <c r="M72" s="31"/>
      <c r="N72" s="562"/>
    </row>
    <row r="73" spans="1:14" s="381" customFormat="1" ht="15.6" thickBot="1">
      <c r="A73" s="598"/>
      <c r="B73" s="599"/>
      <c r="C73" s="600"/>
      <c r="D73" s="599"/>
      <c r="E73" s="599"/>
      <c r="F73" s="599"/>
      <c r="G73" s="601"/>
      <c r="H73" s="31"/>
      <c r="I73" s="31"/>
      <c r="J73" s="31"/>
      <c r="K73" s="31"/>
      <c r="L73" s="31"/>
      <c r="M73" s="31"/>
      <c r="N73" s="562"/>
    </row>
    <row r="74" spans="1:14" s="381" customFormat="1">
      <c r="A74" s="31"/>
      <c r="B74" s="31"/>
      <c r="C74" s="32"/>
      <c r="D74" s="31"/>
      <c r="E74" s="31"/>
      <c r="F74" s="31"/>
      <c r="G74" s="31"/>
      <c r="H74" s="31"/>
      <c r="I74" s="31"/>
      <c r="J74" s="31"/>
      <c r="K74" s="31"/>
      <c r="L74" s="31"/>
      <c r="M74" s="31"/>
      <c r="N74" s="562"/>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72" fitToHeight="0" orientation="landscape" r:id="rId1"/>
  <headerFooter>
    <oddHeader xml:space="preserve">&amp;CDRAFT NOT FOR DISTRIBUTION, INTERNAL USE ONLY
</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A1:O77"/>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8" width="9.5703125" customWidth="1"/>
    <col min="9" max="9" width="7.140625" customWidth="1"/>
    <col min="10" max="10" width="9.5703125" bestFit="1" customWidth="1"/>
    <col min="11" max="11" width="7.7109375" customWidth="1"/>
    <col min="12" max="12" width="9.7109375" customWidth="1"/>
    <col min="13" max="13" width="9.140625" customWidth="1"/>
    <col min="14" max="14" width="34.85546875" customWidth="1"/>
  </cols>
  <sheetData>
    <row r="1" spans="1:14" ht="15.6">
      <c r="A1" s="745" t="s">
        <v>510</v>
      </c>
      <c r="B1" s="745"/>
      <c r="C1" s="745"/>
      <c r="D1" s="745"/>
      <c r="E1" s="745"/>
      <c r="F1" s="745"/>
      <c r="G1" s="745"/>
      <c r="H1" s="745"/>
      <c r="I1" s="745"/>
      <c r="J1" s="745"/>
      <c r="K1" s="745"/>
      <c r="L1" s="745"/>
      <c r="M1" s="745"/>
      <c r="N1" s="745"/>
    </row>
    <row r="2" spans="1:14">
      <c r="A2" s="65" t="s">
        <v>511</v>
      </c>
      <c r="B2" s="381"/>
      <c r="C2" s="687"/>
      <c r="D2" s="381"/>
      <c r="E2" s="381"/>
      <c r="F2" s="381"/>
      <c r="G2" s="381"/>
      <c r="H2" s="381"/>
      <c r="I2" s="381"/>
      <c r="J2" s="381"/>
      <c r="K2" s="381"/>
      <c r="L2" s="381"/>
      <c r="M2" s="381"/>
      <c r="N2" s="381"/>
    </row>
    <row r="3" spans="1:14">
      <c r="A3" s="68" t="s">
        <v>512</v>
      </c>
      <c r="B3" s="381"/>
      <c r="C3" s="687"/>
      <c r="D3" s="381"/>
      <c r="E3" s="381"/>
      <c r="F3" s="554" t="s">
        <v>275</v>
      </c>
      <c r="G3" s="381"/>
      <c r="H3" s="381"/>
      <c r="I3" s="381"/>
      <c r="J3" s="381"/>
      <c r="K3" s="381"/>
      <c r="L3" s="381"/>
      <c r="M3" s="381"/>
      <c r="N3" s="381"/>
    </row>
    <row r="4" spans="1:14" ht="25.25">
      <c r="A4" s="528" t="s">
        <v>513</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514</v>
      </c>
      <c r="B7" s="36" t="s">
        <v>515</v>
      </c>
      <c r="C7" s="37" t="s">
        <v>287</v>
      </c>
      <c r="D7" s="38">
        <v>1</v>
      </c>
      <c r="E7" s="263">
        <v>191</v>
      </c>
      <c r="F7" s="309">
        <f t="shared" ref="F7:F15" si="0">SUM(G7:M7)</f>
        <v>191</v>
      </c>
      <c r="G7" s="310">
        <v>0</v>
      </c>
      <c r="H7" s="310">
        <v>0</v>
      </c>
      <c r="I7" s="310">
        <v>0</v>
      </c>
      <c r="J7" s="310">
        <v>191</v>
      </c>
      <c r="K7" s="310">
        <v>0</v>
      </c>
      <c r="L7" s="310">
        <v>0</v>
      </c>
      <c r="M7" s="311">
        <v>0</v>
      </c>
      <c r="N7" s="325" t="s">
        <v>516</v>
      </c>
    </row>
    <row r="8" spans="1:14" ht="15.05" customHeight="1">
      <c r="A8" s="36" t="s">
        <v>514</v>
      </c>
      <c r="B8" s="36" t="s">
        <v>517</v>
      </c>
      <c r="C8" s="37" t="s">
        <v>287</v>
      </c>
      <c r="D8" s="39">
        <v>1</v>
      </c>
      <c r="E8" s="263">
        <v>191</v>
      </c>
      <c r="F8" s="309">
        <f t="shared" si="0"/>
        <v>191</v>
      </c>
      <c r="G8" s="310">
        <v>0</v>
      </c>
      <c r="H8" s="310">
        <v>191</v>
      </c>
      <c r="I8" s="310">
        <v>0</v>
      </c>
      <c r="J8" s="310">
        <v>0</v>
      </c>
      <c r="K8" s="310">
        <v>0</v>
      </c>
      <c r="L8" s="310">
        <v>0</v>
      </c>
      <c r="M8" s="311">
        <v>0</v>
      </c>
      <c r="N8" s="325" t="s">
        <v>518</v>
      </c>
    </row>
    <row r="9" spans="1:14" ht="15.05" customHeight="1">
      <c r="A9" s="36" t="s">
        <v>514</v>
      </c>
      <c r="B9" s="264" t="s">
        <v>519</v>
      </c>
      <c r="C9" s="37" t="s">
        <v>287</v>
      </c>
      <c r="D9" s="39">
        <v>1</v>
      </c>
      <c r="E9" s="263">
        <v>191</v>
      </c>
      <c r="F9" s="309">
        <f t="shared" si="0"/>
        <v>191</v>
      </c>
      <c r="G9" s="310">
        <v>191</v>
      </c>
      <c r="H9" s="310">
        <v>0</v>
      </c>
      <c r="I9" s="310">
        <v>0</v>
      </c>
      <c r="J9" s="310">
        <v>0</v>
      </c>
      <c r="K9" s="310">
        <v>0</v>
      </c>
      <c r="L9" s="310">
        <v>0</v>
      </c>
      <c r="M9" s="311">
        <v>0</v>
      </c>
      <c r="N9" s="325" t="s">
        <v>520</v>
      </c>
    </row>
    <row r="10" spans="1:14" ht="15.05" customHeight="1">
      <c r="A10" s="36" t="s">
        <v>514</v>
      </c>
      <c r="B10" s="264" t="s">
        <v>521</v>
      </c>
      <c r="C10" s="37" t="s">
        <v>287</v>
      </c>
      <c r="D10" s="39">
        <v>1</v>
      </c>
      <c r="E10" s="263">
        <v>191</v>
      </c>
      <c r="F10" s="309">
        <f t="shared" si="0"/>
        <v>191</v>
      </c>
      <c r="G10" s="310">
        <v>0</v>
      </c>
      <c r="H10" s="310">
        <v>0</v>
      </c>
      <c r="I10" s="310">
        <v>191</v>
      </c>
      <c r="J10" s="310">
        <v>0</v>
      </c>
      <c r="K10" s="310">
        <v>0</v>
      </c>
      <c r="L10" s="310">
        <v>0</v>
      </c>
      <c r="M10" s="311">
        <v>0</v>
      </c>
      <c r="N10" s="327" t="s">
        <v>522</v>
      </c>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4</v>
      </c>
      <c r="E16" s="42">
        <f>SUM(E7:E15)</f>
        <v>764</v>
      </c>
      <c r="F16" s="43">
        <f t="shared" si="1"/>
        <v>764</v>
      </c>
      <c r="G16" s="43">
        <f t="shared" si="1"/>
        <v>191</v>
      </c>
      <c r="H16" s="43">
        <f t="shared" si="1"/>
        <v>191</v>
      </c>
      <c r="I16" s="43">
        <f t="shared" si="1"/>
        <v>191</v>
      </c>
      <c r="J16" s="43">
        <f t="shared" si="1"/>
        <v>191</v>
      </c>
      <c r="K16" s="43">
        <f t="shared" si="1"/>
        <v>0</v>
      </c>
      <c r="L16" s="43">
        <f t="shared" si="1"/>
        <v>0</v>
      </c>
      <c r="M16" s="43">
        <f t="shared" si="1"/>
        <v>0</v>
      </c>
      <c r="N16" s="254"/>
    </row>
    <row r="17" spans="1:14">
      <c r="A17" s="69" t="s">
        <v>289</v>
      </c>
      <c r="B17" s="70"/>
      <c r="C17" s="71"/>
      <c r="D17" s="70"/>
      <c r="E17" s="70"/>
      <c r="F17" s="72"/>
      <c r="G17" s="72"/>
      <c r="H17" s="72"/>
      <c r="I17" s="72"/>
      <c r="J17" s="72"/>
      <c r="K17" s="72"/>
      <c r="L17" s="72"/>
      <c r="M17" s="72"/>
      <c r="N17" s="72"/>
    </row>
    <row r="18" spans="1:14" ht="109.85" customHeight="1">
      <c r="A18" s="264" t="s">
        <v>355</v>
      </c>
      <c r="B18" s="264" t="s">
        <v>523</v>
      </c>
      <c r="C18" s="44">
        <v>253</v>
      </c>
      <c r="D18" s="45"/>
      <c r="E18" s="263">
        <v>100</v>
      </c>
      <c r="F18" s="357">
        <f>SUM(G18:M18)</f>
        <v>152</v>
      </c>
      <c r="G18" s="310">
        <v>0</v>
      </c>
      <c r="H18" s="310">
        <v>0</v>
      </c>
      <c r="I18" s="310">
        <v>0</v>
      </c>
      <c r="J18" s="310">
        <f>100+52</f>
        <v>152</v>
      </c>
      <c r="K18" s="310">
        <v>0</v>
      </c>
      <c r="L18" s="310">
        <v>0</v>
      </c>
      <c r="M18" s="311">
        <v>0</v>
      </c>
      <c r="N18" s="327" t="s">
        <v>1334</v>
      </c>
    </row>
    <row r="19" spans="1:14">
      <c r="A19" s="264" t="s">
        <v>355</v>
      </c>
      <c r="B19" s="264"/>
      <c r="C19" s="44">
        <v>253</v>
      </c>
      <c r="D19" s="45"/>
      <c r="E19" s="263">
        <v>0</v>
      </c>
      <c r="F19" s="357">
        <f>SUM(G19:M19)</f>
        <v>0</v>
      </c>
      <c r="G19" s="310">
        <v>0</v>
      </c>
      <c r="H19" s="310">
        <v>0</v>
      </c>
      <c r="I19" s="310">
        <v>0</v>
      </c>
      <c r="J19" s="310">
        <v>0</v>
      </c>
      <c r="K19" s="310">
        <v>0</v>
      </c>
      <c r="L19" s="310">
        <v>0</v>
      </c>
      <c r="M19" s="311">
        <v>0</v>
      </c>
      <c r="N19" s="327"/>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7"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2">
        <f>SUM(E18:E21)</f>
        <v>100</v>
      </c>
      <c r="F22" s="43">
        <f>SUM(F18:F21)</f>
        <v>152</v>
      </c>
      <c r="G22" s="43">
        <f t="shared" ref="G22:M22" si="2">SUM(G18:G21)</f>
        <v>0</v>
      </c>
      <c r="H22" s="43">
        <f t="shared" si="2"/>
        <v>0</v>
      </c>
      <c r="I22" s="43">
        <f t="shared" si="2"/>
        <v>0</v>
      </c>
      <c r="J22" s="43">
        <f t="shared" si="2"/>
        <v>152</v>
      </c>
      <c r="K22" s="43">
        <f t="shared" si="2"/>
        <v>0</v>
      </c>
      <c r="L22" s="43">
        <f t="shared" si="2"/>
        <v>0</v>
      </c>
      <c r="M22" s="43">
        <f t="shared" si="2"/>
        <v>0</v>
      </c>
      <c r="N22" s="355"/>
    </row>
    <row r="23" spans="1:14" s="7" customFormat="1">
      <c r="A23" s="69" t="s">
        <v>356</v>
      </c>
      <c r="B23" s="70"/>
      <c r="C23" s="71"/>
      <c r="D23" s="70"/>
      <c r="E23" s="70"/>
      <c r="F23" s="72"/>
      <c r="G23" s="72"/>
      <c r="H23" s="72"/>
      <c r="I23" s="72"/>
      <c r="J23" s="72"/>
      <c r="K23" s="72"/>
      <c r="L23" s="72"/>
      <c r="M23" s="72"/>
      <c r="N23" s="72"/>
    </row>
    <row r="24" spans="1:14">
      <c r="A24" s="264" t="s">
        <v>296</v>
      </c>
      <c r="B24" s="36"/>
      <c r="C24" s="37" t="s">
        <v>297</v>
      </c>
      <c r="D24" s="38">
        <v>0</v>
      </c>
      <c r="E24" s="263">
        <v>80</v>
      </c>
      <c r="F24" s="309">
        <f t="shared" ref="F24:F37" si="3">SUM(G24:M24)</f>
        <v>80</v>
      </c>
      <c r="G24" s="310">
        <v>20</v>
      </c>
      <c r="H24" s="310">
        <v>20</v>
      </c>
      <c r="I24" s="310">
        <v>20</v>
      </c>
      <c r="J24" s="310">
        <v>20</v>
      </c>
      <c r="K24" s="310">
        <v>0</v>
      </c>
      <c r="L24" s="310">
        <v>0</v>
      </c>
      <c r="M24" s="311">
        <v>0</v>
      </c>
      <c r="N24" s="325" t="s">
        <v>524</v>
      </c>
    </row>
    <row r="25" spans="1:14" ht="89.1">
      <c r="A25" s="264" t="s">
        <v>296</v>
      </c>
      <c r="B25" s="36"/>
      <c r="C25" s="44" t="s">
        <v>297</v>
      </c>
      <c r="D25" s="45"/>
      <c r="E25" s="263">
        <v>12</v>
      </c>
      <c r="F25" s="309">
        <f t="shared" si="3"/>
        <v>104</v>
      </c>
      <c r="G25" s="310">
        <v>24</v>
      </c>
      <c r="H25" s="310">
        <f>40-2</f>
        <v>38</v>
      </c>
      <c r="I25" s="310">
        <v>16</v>
      </c>
      <c r="J25" s="310">
        <v>24</v>
      </c>
      <c r="K25" s="310">
        <v>2</v>
      </c>
      <c r="L25" s="310">
        <v>0</v>
      </c>
      <c r="M25" s="311">
        <v>0</v>
      </c>
      <c r="N25" s="325" t="s">
        <v>525</v>
      </c>
    </row>
    <row r="26" spans="1:14" s="381" customFormat="1">
      <c r="A26" s="264" t="s">
        <v>298</v>
      </c>
      <c r="B26" s="36"/>
      <c r="C26" s="44" t="s">
        <v>299</v>
      </c>
      <c r="D26" s="45"/>
      <c r="E26" s="263">
        <v>0</v>
      </c>
      <c r="F26" s="309">
        <f>SUM(G26:M26)</f>
        <v>0</v>
      </c>
      <c r="G26" s="310">
        <v>0</v>
      </c>
      <c r="H26" s="310">
        <v>0</v>
      </c>
      <c r="I26" s="310">
        <v>0</v>
      </c>
      <c r="J26" s="310">
        <v>0</v>
      </c>
      <c r="K26" s="310">
        <v>0</v>
      </c>
      <c r="L26" s="310">
        <v>0</v>
      </c>
      <c r="M26" s="311">
        <v>0</v>
      </c>
      <c r="N26" s="325"/>
    </row>
    <row r="27" spans="1:14" s="381" customFormat="1" ht="29.7">
      <c r="A27" s="264" t="s">
        <v>300</v>
      </c>
      <c r="B27" s="36" t="s">
        <v>526</v>
      </c>
      <c r="C27" s="44" t="s">
        <v>301</v>
      </c>
      <c r="D27" s="45"/>
      <c r="E27" s="263">
        <v>1</v>
      </c>
      <c r="F27" s="309">
        <f>SUM(G27:M27)</f>
        <v>1</v>
      </c>
      <c r="G27" s="310">
        <v>0</v>
      </c>
      <c r="H27" s="310">
        <v>0</v>
      </c>
      <c r="I27" s="310">
        <v>0</v>
      </c>
      <c r="J27" s="310">
        <v>0</v>
      </c>
      <c r="K27" s="310">
        <v>1</v>
      </c>
      <c r="L27" s="310">
        <v>0</v>
      </c>
      <c r="M27" s="311">
        <v>0</v>
      </c>
      <c r="N27" s="327" t="s">
        <v>527</v>
      </c>
    </row>
    <row r="28" spans="1:14">
      <c r="A28" s="264" t="s">
        <v>302</v>
      </c>
      <c r="B28" s="36"/>
      <c r="C28" s="44" t="s">
        <v>303</v>
      </c>
      <c r="D28" s="45"/>
      <c r="E28" s="263">
        <v>0</v>
      </c>
      <c r="F28" s="309">
        <f t="shared" si="3"/>
        <v>0</v>
      </c>
      <c r="G28" s="310">
        <v>0</v>
      </c>
      <c r="H28" s="310">
        <v>0</v>
      </c>
      <c r="I28" s="310">
        <v>0</v>
      </c>
      <c r="J28" s="310">
        <v>0</v>
      </c>
      <c r="K28" s="310">
        <v>0</v>
      </c>
      <c r="L28" s="310">
        <v>0</v>
      </c>
      <c r="M28" s="311">
        <v>0</v>
      </c>
      <c r="N28" s="355"/>
    </row>
    <row r="29" spans="1:14">
      <c r="A29" s="264" t="s">
        <v>304</v>
      </c>
      <c r="B29" s="36"/>
      <c r="C29" s="44">
        <v>251</v>
      </c>
      <c r="D29" s="45"/>
      <c r="E29" s="263">
        <v>0</v>
      </c>
      <c r="F29" s="309">
        <f t="shared" si="3"/>
        <v>0</v>
      </c>
      <c r="G29" s="310"/>
      <c r="H29" s="310"/>
      <c r="I29" s="310"/>
      <c r="J29" s="310"/>
      <c r="K29" s="310"/>
      <c r="L29" s="310">
        <v>0</v>
      </c>
      <c r="M29" s="311"/>
      <c r="N29" s="325"/>
    </row>
    <row r="30" spans="1:14">
      <c r="A30" s="264" t="s">
        <v>313</v>
      </c>
      <c r="B30" s="36"/>
      <c r="C30" s="44">
        <v>252</v>
      </c>
      <c r="D30" s="45"/>
      <c r="E30" s="263">
        <v>0</v>
      </c>
      <c r="F30" s="309">
        <f t="shared" si="3"/>
        <v>0</v>
      </c>
      <c r="G30" s="310">
        <v>0</v>
      </c>
      <c r="H30" s="310">
        <v>0</v>
      </c>
      <c r="I30" s="310">
        <v>0</v>
      </c>
      <c r="J30" s="310">
        <v>0</v>
      </c>
      <c r="K30" s="310">
        <v>0</v>
      </c>
      <c r="L30" s="310">
        <v>0</v>
      </c>
      <c r="M30" s="311">
        <v>0</v>
      </c>
      <c r="N30" s="327"/>
    </row>
    <row r="31" spans="1:14">
      <c r="A31" s="264" t="s">
        <v>314</v>
      </c>
      <c r="B31" s="36"/>
      <c r="C31" s="44">
        <v>252</v>
      </c>
      <c r="D31" s="45"/>
      <c r="E31" s="263">
        <v>0</v>
      </c>
      <c r="F31" s="309">
        <f t="shared" si="3"/>
        <v>0</v>
      </c>
      <c r="G31" s="310">
        <v>0</v>
      </c>
      <c r="H31" s="310">
        <v>0</v>
      </c>
      <c r="I31" s="310">
        <v>0</v>
      </c>
      <c r="J31" s="310">
        <v>0</v>
      </c>
      <c r="K31" s="310">
        <v>0</v>
      </c>
      <c r="L31" s="310">
        <v>0</v>
      </c>
      <c r="M31" s="311">
        <v>0</v>
      </c>
      <c r="N31" s="355"/>
    </row>
    <row r="32" spans="1:14">
      <c r="A32" s="264" t="s">
        <v>315</v>
      </c>
      <c r="B32" s="36"/>
      <c r="C32" s="44">
        <v>253</v>
      </c>
      <c r="D32" s="264"/>
      <c r="E32" s="263">
        <v>0</v>
      </c>
      <c r="F32" s="309">
        <f t="shared" si="3"/>
        <v>0</v>
      </c>
      <c r="G32" s="310">
        <v>0</v>
      </c>
      <c r="H32" s="310">
        <v>0</v>
      </c>
      <c r="I32" s="310">
        <v>0</v>
      </c>
      <c r="J32" s="310">
        <v>0</v>
      </c>
      <c r="K32" s="310">
        <v>0</v>
      </c>
      <c r="L32" s="310">
        <v>0</v>
      </c>
      <c r="M32" s="311">
        <v>0</v>
      </c>
      <c r="N32" s="355"/>
    </row>
    <row r="33" spans="1:15">
      <c r="A33" s="264" t="s">
        <v>316</v>
      </c>
      <c r="B33" s="36"/>
      <c r="C33" s="44">
        <v>255</v>
      </c>
      <c r="D33" s="264"/>
      <c r="E33" s="263">
        <v>0</v>
      </c>
      <c r="F33" s="309">
        <f t="shared" si="3"/>
        <v>0</v>
      </c>
      <c r="G33" s="310">
        <v>0</v>
      </c>
      <c r="H33" s="310">
        <v>0</v>
      </c>
      <c r="I33" s="310">
        <v>0</v>
      </c>
      <c r="J33" s="310">
        <v>0</v>
      </c>
      <c r="K33" s="310">
        <v>0</v>
      </c>
      <c r="L33" s="310">
        <v>0</v>
      </c>
      <c r="M33" s="311">
        <v>0</v>
      </c>
      <c r="N33" s="355"/>
      <c r="O33" s="381"/>
    </row>
    <row r="34" spans="1:15">
      <c r="A34" s="264" t="s">
        <v>317</v>
      </c>
      <c r="B34" s="36"/>
      <c r="C34" s="44">
        <v>256</v>
      </c>
      <c r="D34" s="264"/>
      <c r="E34" s="263">
        <v>0</v>
      </c>
      <c r="F34" s="309">
        <f t="shared" si="3"/>
        <v>0</v>
      </c>
      <c r="G34" s="310">
        <v>0</v>
      </c>
      <c r="H34" s="310">
        <v>0</v>
      </c>
      <c r="I34" s="310">
        <v>0</v>
      </c>
      <c r="J34" s="310">
        <v>0</v>
      </c>
      <c r="K34" s="310">
        <v>0</v>
      </c>
      <c r="L34" s="310">
        <v>0</v>
      </c>
      <c r="M34" s="311">
        <v>0</v>
      </c>
      <c r="N34" s="355"/>
      <c r="O34" s="381"/>
    </row>
    <row r="35" spans="1:15">
      <c r="A35" s="264" t="s">
        <v>318</v>
      </c>
      <c r="B35" s="36"/>
      <c r="C35" s="44">
        <v>257</v>
      </c>
      <c r="D35" s="264"/>
      <c r="E35" s="263">
        <v>0</v>
      </c>
      <c r="F35" s="309">
        <f t="shared" si="3"/>
        <v>0</v>
      </c>
      <c r="G35" s="310">
        <v>0</v>
      </c>
      <c r="H35" s="310">
        <v>0</v>
      </c>
      <c r="I35" s="310">
        <v>0</v>
      </c>
      <c r="J35" s="310">
        <v>0</v>
      </c>
      <c r="K35" s="310">
        <v>0</v>
      </c>
      <c r="L35" s="310">
        <v>0</v>
      </c>
      <c r="M35" s="311">
        <v>0</v>
      </c>
      <c r="N35" s="355"/>
      <c r="O35" s="381"/>
    </row>
    <row r="36" spans="1:15">
      <c r="A36" s="264" t="s">
        <v>319</v>
      </c>
      <c r="B36" s="36"/>
      <c r="C36" s="44" t="s">
        <v>320</v>
      </c>
      <c r="D36" s="264"/>
      <c r="E36" s="263">
        <v>0</v>
      </c>
      <c r="F36" s="309">
        <f t="shared" si="3"/>
        <v>0</v>
      </c>
      <c r="G36" s="310">
        <v>0</v>
      </c>
      <c r="H36" s="310">
        <v>0</v>
      </c>
      <c r="I36" s="310">
        <v>0</v>
      </c>
      <c r="J36" s="310">
        <v>0</v>
      </c>
      <c r="K36" s="310">
        <v>0</v>
      </c>
      <c r="L36" s="310">
        <v>0</v>
      </c>
      <c r="M36" s="311">
        <v>0</v>
      </c>
      <c r="N36" s="355"/>
      <c r="O36" s="381"/>
    </row>
    <row r="37" spans="1:15" ht="29.7">
      <c r="A37" s="265" t="s">
        <v>321</v>
      </c>
      <c r="B37" s="36"/>
      <c r="C37" s="266" t="s">
        <v>322</v>
      </c>
      <c r="D37" s="265"/>
      <c r="E37" s="263">
        <v>10</v>
      </c>
      <c r="F37" s="309">
        <f t="shared" si="3"/>
        <v>10</v>
      </c>
      <c r="G37" s="310">
        <v>5</v>
      </c>
      <c r="H37" s="310">
        <v>0</v>
      </c>
      <c r="I37" s="310">
        <v>0</v>
      </c>
      <c r="J37" s="310">
        <v>5</v>
      </c>
      <c r="K37" s="310">
        <v>0</v>
      </c>
      <c r="L37" s="310">
        <v>0</v>
      </c>
      <c r="M37" s="311">
        <v>0</v>
      </c>
      <c r="N37" s="325" t="s">
        <v>528</v>
      </c>
      <c r="O37" s="381"/>
    </row>
    <row r="38" spans="1:15">
      <c r="A38" s="40" t="s">
        <v>326</v>
      </c>
      <c r="B38" s="265"/>
      <c r="C38" s="266"/>
      <c r="D38" s="267"/>
      <c r="E38" s="42">
        <f t="shared" ref="E38:M38" si="4">SUM(E24:E37)</f>
        <v>103</v>
      </c>
      <c r="F38" s="43">
        <f t="shared" si="4"/>
        <v>195</v>
      </c>
      <c r="G38" s="43">
        <f t="shared" si="4"/>
        <v>49</v>
      </c>
      <c r="H38" s="43">
        <f t="shared" si="4"/>
        <v>58</v>
      </c>
      <c r="I38" s="43">
        <f t="shared" si="4"/>
        <v>36</v>
      </c>
      <c r="J38" s="43">
        <f t="shared" si="4"/>
        <v>49</v>
      </c>
      <c r="K38" s="43">
        <f t="shared" si="4"/>
        <v>3</v>
      </c>
      <c r="L38" s="43">
        <f t="shared" si="4"/>
        <v>0</v>
      </c>
      <c r="M38" s="43">
        <f t="shared" si="4"/>
        <v>0</v>
      </c>
      <c r="N38" s="355"/>
      <c r="O38" s="381"/>
    </row>
    <row r="39" spans="1:15" s="151" customFormat="1">
      <c r="A39" s="40" t="s">
        <v>327</v>
      </c>
      <c r="B39" s="51"/>
      <c r="C39" s="149"/>
      <c r="D39" s="267"/>
      <c r="E39" s="241">
        <v>0</v>
      </c>
      <c r="F39" s="240">
        <v>0</v>
      </c>
      <c r="G39" s="240">
        <v>0</v>
      </c>
      <c r="H39" s="240">
        <v>0</v>
      </c>
      <c r="I39" s="240"/>
      <c r="J39" s="240"/>
      <c r="K39" s="240"/>
      <c r="L39" s="240"/>
      <c r="M39" s="240"/>
      <c r="N39" s="355"/>
      <c r="O39" s="381"/>
    </row>
    <row r="40" spans="1:15">
      <c r="A40" s="40" t="s">
        <v>328</v>
      </c>
      <c r="B40" s="46"/>
      <c r="C40" s="47"/>
      <c r="D40" s="48">
        <f>D38+D22+D16</f>
        <v>4</v>
      </c>
      <c r="E40" s="17">
        <f t="shared" ref="E40:L40" si="5">E16+E22+E38-E39</f>
        <v>967</v>
      </c>
      <c r="F40" s="17">
        <f t="shared" si="5"/>
        <v>1111</v>
      </c>
      <c r="G40" s="17">
        <f t="shared" si="5"/>
        <v>240</v>
      </c>
      <c r="H40" s="17">
        <f t="shared" si="5"/>
        <v>249</v>
      </c>
      <c r="I40" s="17">
        <f t="shared" si="5"/>
        <v>227</v>
      </c>
      <c r="J40" s="17">
        <f t="shared" si="5"/>
        <v>392</v>
      </c>
      <c r="K40" s="17">
        <f t="shared" si="5"/>
        <v>3</v>
      </c>
      <c r="L40" s="17">
        <f t="shared" si="5"/>
        <v>0</v>
      </c>
      <c r="M40" s="17">
        <f>M38+M22+M16-M39</f>
        <v>0</v>
      </c>
      <c r="N40" s="353"/>
      <c r="O40" s="381"/>
    </row>
    <row r="42" spans="1:15" s="381" customFormat="1" ht="14.5" customHeight="1">
      <c r="C42" s="687"/>
      <c r="E42" s="289" t="s">
        <v>529</v>
      </c>
      <c r="F42" s="523">
        <f>22470-F40</f>
        <v>21359</v>
      </c>
      <c r="G42" s="524">
        <v>5324.7987000000003</v>
      </c>
      <c r="H42" s="524">
        <v>11899.098900000001</v>
      </c>
      <c r="I42" s="524">
        <v>1482.3146000000002</v>
      </c>
      <c r="J42" s="524">
        <v>2652.7878000000001</v>
      </c>
      <c r="N42" s="772" t="s">
        <v>1353</v>
      </c>
      <c r="O42" s="565"/>
    </row>
    <row r="43" spans="1:15" s="381" customFormat="1">
      <c r="C43" s="687"/>
      <c r="G43" s="381" t="s">
        <v>1354</v>
      </c>
      <c r="N43" s="772"/>
    </row>
    <row r="44" spans="1:15" s="381" customFormat="1">
      <c r="C44" s="687"/>
      <c r="G44" s="287"/>
      <c r="H44" s="287"/>
      <c r="I44" s="287"/>
      <c r="J44" s="287"/>
    </row>
    <row r="46" spans="1:15" s="381" customFormat="1" ht="15.6" thickBot="1">
      <c r="A46" s="31"/>
      <c r="B46" s="31"/>
      <c r="C46" s="32"/>
      <c r="D46" s="31"/>
      <c r="E46" s="31"/>
      <c r="F46" s="31"/>
      <c r="G46" s="31"/>
      <c r="H46" s="31"/>
      <c r="I46" s="31"/>
      <c r="J46" s="31"/>
      <c r="K46" s="31"/>
      <c r="L46" s="31"/>
      <c r="M46" s="31"/>
      <c r="N46" s="562"/>
    </row>
    <row r="47" spans="1:15" s="381" customFormat="1" ht="15.6">
      <c r="A47" s="764" t="s">
        <v>330</v>
      </c>
      <c r="B47" s="765"/>
      <c r="C47" s="765"/>
      <c r="D47" s="765"/>
      <c r="E47" s="765"/>
      <c r="F47" s="765"/>
      <c r="G47" s="581"/>
      <c r="H47" s="31"/>
      <c r="I47" s="31"/>
      <c r="J47" s="31"/>
      <c r="K47" s="31"/>
      <c r="L47" s="31"/>
      <c r="M47" s="31"/>
      <c r="N47" s="562"/>
    </row>
    <row r="48" spans="1:15" s="381" customFormat="1" ht="15.6">
      <c r="A48" s="738"/>
      <c r="B48" s="739"/>
      <c r="C48" s="739"/>
      <c r="D48" s="739"/>
      <c r="E48" s="739"/>
      <c r="F48" s="739"/>
      <c r="G48" s="582"/>
      <c r="H48" s="31"/>
      <c r="I48" s="31"/>
      <c r="J48" s="31"/>
      <c r="K48" s="31"/>
      <c r="L48" s="31"/>
      <c r="M48" s="31"/>
      <c r="N48" s="562"/>
    </row>
    <row r="49" spans="1:14" s="381" customFormat="1">
      <c r="A49" s="740" t="s">
        <v>331</v>
      </c>
      <c r="B49" s="741"/>
      <c r="C49" s="583"/>
      <c r="D49" s="583"/>
      <c r="E49" s="583"/>
      <c r="F49" s="583"/>
      <c r="G49" s="582"/>
      <c r="H49" s="31"/>
      <c r="I49" s="31"/>
      <c r="J49" s="31"/>
      <c r="K49" s="31"/>
      <c r="L49" s="31"/>
      <c r="M49" s="31"/>
      <c r="N49" s="562"/>
    </row>
    <row r="50" spans="1:14" s="381" customFormat="1">
      <c r="A50" s="584" t="s">
        <v>361</v>
      </c>
      <c r="B50" s="585">
        <f>E40</f>
        <v>967</v>
      </c>
      <c r="C50" s="586"/>
      <c r="D50" s="587"/>
      <c r="E50" s="587"/>
      <c r="F50" s="587"/>
      <c r="G50" s="582"/>
      <c r="H50" s="31"/>
      <c r="I50" s="31"/>
      <c r="J50" s="31"/>
      <c r="K50" s="31"/>
      <c r="L50" s="31"/>
      <c r="M50" s="31"/>
      <c r="N50" s="562"/>
    </row>
    <row r="51" spans="1:14" s="381" customFormat="1">
      <c r="A51" s="588" t="s">
        <v>362</v>
      </c>
      <c r="B51" s="589">
        <f>F40</f>
        <v>1111</v>
      </c>
      <c r="C51" s="586"/>
      <c r="D51" s="587"/>
      <c r="E51" s="587"/>
      <c r="F51" s="587"/>
      <c r="G51" s="582"/>
      <c r="H51" s="31"/>
      <c r="I51" s="31"/>
      <c r="J51" s="31"/>
      <c r="K51" s="31"/>
      <c r="L51" s="31"/>
      <c r="M51" s="31"/>
      <c r="N51" s="562"/>
    </row>
    <row r="52" spans="1:14" s="381" customFormat="1">
      <c r="A52" s="590" t="s">
        <v>334</v>
      </c>
      <c r="B52" s="591">
        <f>B51-B50</f>
        <v>144</v>
      </c>
      <c r="C52" s="586"/>
      <c r="D52" s="587"/>
      <c r="E52" s="587"/>
      <c r="F52" s="587"/>
      <c r="G52" s="582"/>
      <c r="H52" s="31"/>
      <c r="I52" s="31"/>
      <c r="J52" s="31"/>
      <c r="K52" s="31"/>
      <c r="L52" s="31"/>
      <c r="M52" s="31"/>
      <c r="N52" s="562"/>
    </row>
    <row r="53" spans="1:14" s="381" customFormat="1">
      <c r="A53" s="590" t="s">
        <v>335</v>
      </c>
      <c r="B53" s="592">
        <f>B52/B50</f>
        <v>0.14891416752843847</v>
      </c>
      <c r="C53" s="586"/>
      <c r="D53" s="587"/>
      <c r="E53" s="587"/>
      <c r="F53" s="587"/>
      <c r="G53" s="582"/>
      <c r="H53" s="31"/>
      <c r="I53" s="31"/>
      <c r="J53" s="31"/>
      <c r="K53" s="31"/>
      <c r="L53" s="31"/>
      <c r="M53" s="31"/>
      <c r="N53" s="562"/>
    </row>
    <row r="54" spans="1:14" s="381" customFormat="1">
      <c r="A54" s="593"/>
      <c r="B54" s="587"/>
      <c r="C54" s="686"/>
      <c r="D54" s="587"/>
      <c r="E54" s="587"/>
      <c r="F54" s="587"/>
      <c r="G54" s="582"/>
      <c r="H54" s="31"/>
      <c r="I54" s="31"/>
      <c r="J54" s="31"/>
      <c r="K54" s="31"/>
      <c r="L54" s="31"/>
      <c r="M54" s="31"/>
      <c r="N54" s="562"/>
    </row>
    <row r="55" spans="1:14" s="381" customFormat="1">
      <c r="A55" s="731" t="s">
        <v>336</v>
      </c>
      <c r="B55" s="732"/>
      <c r="C55" s="732"/>
      <c r="D55" s="732"/>
      <c r="E55" s="732"/>
      <c r="F55" s="732"/>
      <c r="G55" s="582"/>
      <c r="H55" s="31"/>
      <c r="I55" s="31"/>
      <c r="J55" s="31"/>
      <c r="K55" s="31"/>
      <c r="L55" s="31"/>
      <c r="M55" s="31"/>
      <c r="N55" s="562"/>
    </row>
    <row r="56" spans="1:14" s="381" customFormat="1" ht="43.25" customHeight="1">
      <c r="A56" s="742" t="s">
        <v>530</v>
      </c>
      <c r="B56" s="743"/>
      <c r="C56" s="743"/>
      <c r="D56" s="743"/>
      <c r="E56" s="743"/>
      <c r="F56" s="744"/>
      <c r="G56" s="582"/>
      <c r="H56" s="31"/>
      <c r="I56" s="31"/>
      <c r="J56" s="31"/>
      <c r="K56" s="31"/>
      <c r="L56" s="31"/>
      <c r="M56" s="31"/>
      <c r="N56" s="562"/>
    </row>
    <row r="57" spans="1:14" s="381" customFormat="1">
      <c r="A57" s="594"/>
      <c r="B57" s="595"/>
      <c r="C57" s="595"/>
      <c r="D57" s="595"/>
      <c r="E57" s="595"/>
      <c r="F57" s="595"/>
      <c r="G57" s="582"/>
      <c r="H57" s="31"/>
      <c r="I57" s="31"/>
      <c r="J57" s="31"/>
      <c r="K57" s="31"/>
      <c r="L57" s="31"/>
      <c r="M57" s="31"/>
      <c r="N57" s="562"/>
    </row>
    <row r="58" spans="1:14" s="381" customFormat="1">
      <c r="A58" s="596" t="s">
        <v>337</v>
      </c>
      <c r="B58" s="587"/>
      <c r="C58" s="686"/>
      <c r="D58" s="587"/>
      <c r="E58" s="587"/>
      <c r="F58" s="587"/>
      <c r="G58" s="582"/>
      <c r="H58" s="31"/>
      <c r="I58" s="31"/>
      <c r="J58" s="31"/>
      <c r="K58" s="31"/>
      <c r="L58" s="31"/>
      <c r="M58" s="31"/>
      <c r="N58" s="562"/>
    </row>
    <row r="59" spans="1:14" s="381" customFormat="1" ht="81.099999999999994" customHeight="1">
      <c r="A59" s="742" t="s">
        <v>531</v>
      </c>
      <c r="B59" s="743"/>
      <c r="C59" s="743"/>
      <c r="D59" s="743"/>
      <c r="E59" s="743"/>
      <c r="F59" s="744"/>
      <c r="G59" s="582"/>
      <c r="H59" s="31"/>
      <c r="I59" s="31"/>
      <c r="J59" s="31"/>
      <c r="K59" s="31"/>
      <c r="L59" s="31"/>
      <c r="M59" s="31"/>
      <c r="N59" s="562"/>
    </row>
    <row r="60" spans="1:14" s="381" customFormat="1">
      <c r="A60" s="593"/>
      <c r="B60" s="587"/>
      <c r="C60" s="686"/>
      <c r="D60" s="587"/>
      <c r="E60" s="587"/>
      <c r="F60" s="587"/>
      <c r="G60" s="582"/>
      <c r="H60" s="31"/>
      <c r="I60" s="31"/>
      <c r="J60" s="31"/>
      <c r="K60" s="31"/>
      <c r="L60" s="31"/>
      <c r="M60" s="31"/>
      <c r="N60" s="562"/>
    </row>
    <row r="61" spans="1:14" s="381" customFormat="1">
      <c r="A61" s="731" t="s">
        <v>365</v>
      </c>
      <c r="B61" s="732"/>
      <c r="C61" s="732"/>
      <c r="D61" s="732"/>
      <c r="E61" s="732"/>
      <c r="F61" s="732"/>
      <c r="G61" s="582"/>
      <c r="H61" s="31"/>
      <c r="I61" s="31"/>
      <c r="J61" s="31"/>
      <c r="K61" s="31"/>
      <c r="L61" s="31"/>
      <c r="M61" s="31"/>
      <c r="N61" s="562"/>
    </row>
    <row r="62" spans="1:14" s="381" customFormat="1">
      <c r="A62" s="733" t="s">
        <v>339</v>
      </c>
      <c r="B62" s="734"/>
      <c r="C62" s="734"/>
      <c r="D62" s="734"/>
      <c r="E62" s="734"/>
      <c r="F62" s="734"/>
      <c r="G62" s="582"/>
      <c r="H62" s="31"/>
      <c r="I62" s="31"/>
      <c r="J62" s="31"/>
      <c r="K62" s="31"/>
      <c r="L62" s="31"/>
      <c r="M62" s="31"/>
      <c r="N62" s="562"/>
    </row>
    <row r="63" spans="1:14" s="381" customFormat="1" ht="20.8" customHeight="1">
      <c r="A63" s="735" t="s">
        <v>532</v>
      </c>
      <c r="B63" s="736"/>
      <c r="C63" s="736"/>
      <c r="D63" s="736"/>
      <c r="E63" s="736"/>
      <c r="F63" s="737"/>
      <c r="G63" s="582"/>
      <c r="H63" s="31"/>
      <c r="I63" s="31"/>
      <c r="J63" s="31"/>
      <c r="K63" s="31"/>
      <c r="L63" s="31"/>
      <c r="M63" s="31"/>
      <c r="N63" s="562"/>
    </row>
    <row r="64" spans="1:14" s="381" customFormat="1">
      <c r="A64" s="596"/>
      <c r="B64" s="587"/>
      <c r="C64" s="686"/>
      <c r="D64" s="587"/>
      <c r="E64" s="587"/>
      <c r="F64" s="587"/>
      <c r="G64" s="582"/>
      <c r="H64" s="31"/>
      <c r="I64" s="31"/>
      <c r="J64" s="31"/>
      <c r="K64" s="31"/>
      <c r="L64" s="31"/>
      <c r="M64" s="31"/>
      <c r="N64" s="562"/>
    </row>
    <row r="65" spans="1:14" s="381" customFormat="1">
      <c r="A65" s="731" t="s">
        <v>340</v>
      </c>
      <c r="B65" s="732"/>
      <c r="C65" s="732"/>
      <c r="D65" s="732"/>
      <c r="E65" s="732"/>
      <c r="F65" s="587"/>
      <c r="G65" s="582"/>
      <c r="H65" s="31"/>
      <c r="I65" s="31"/>
      <c r="J65" s="31"/>
      <c r="K65" s="31"/>
      <c r="L65" s="31"/>
      <c r="M65" s="31"/>
      <c r="N65" s="562"/>
    </row>
    <row r="66" spans="1:14" s="381" customFormat="1" ht="20.05" customHeight="1">
      <c r="A66" s="728" t="s">
        <v>533</v>
      </c>
      <c r="B66" s="729"/>
      <c r="C66" s="729"/>
      <c r="D66" s="729"/>
      <c r="E66" s="729"/>
      <c r="F66" s="730"/>
      <c r="G66" s="582"/>
      <c r="H66" s="31"/>
      <c r="I66" s="31"/>
      <c r="J66" s="31"/>
      <c r="K66" s="31"/>
      <c r="L66" s="31"/>
      <c r="M66" s="31"/>
      <c r="N66" s="562"/>
    </row>
    <row r="67" spans="1:14" s="381" customFormat="1">
      <c r="A67" s="593"/>
      <c r="B67" s="587"/>
      <c r="C67" s="686"/>
      <c r="D67" s="587"/>
      <c r="E67" s="587"/>
      <c r="F67" s="587"/>
      <c r="G67" s="582"/>
      <c r="H67" s="31"/>
      <c r="I67" s="31"/>
      <c r="J67" s="31"/>
      <c r="K67" s="31"/>
      <c r="L67" s="31"/>
      <c r="M67" s="31"/>
      <c r="N67" s="562"/>
    </row>
    <row r="68" spans="1:14" s="381" customFormat="1">
      <c r="A68" s="596" t="s">
        <v>341</v>
      </c>
      <c r="B68" s="587"/>
      <c r="C68" s="686"/>
      <c r="D68" s="587"/>
      <c r="E68" s="587"/>
      <c r="F68" s="587"/>
      <c r="G68" s="582"/>
      <c r="H68" s="31"/>
      <c r="I68" s="31"/>
      <c r="J68" s="31"/>
      <c r="K68" s="31"/>
      <c r="L68" s="31"/>
      <c r="M68" s="31"/>
      <c r="N68" s="562"/>
    </row>
    <row r="69" spans="1:14" s="381" customFormat="1">
      <c r="A69" s="597" t="s">
        <v>342</v>
      </c>
      <c r="B69" s="587"/>
      <c r="C69" s="686"/>
      <c r="D69" s="587"/>
      <c r="E69" s="587"/>
      <c r="F69" s="587"/>
      <c r="G69" s="582"/>
      <c r="H69" s="31"/>
      <c r="I69" s="31"/>
      <c r="J69" s="31"/>
      <c r="K69" s="31"/>
      <c r="L69" s="31"/>
      <c r="M69" s="31"/>
      <c r="N69" s="562"/>
    </row>
    <row r="70" spans="1:14" s="381" customFormat="1" ht="26.2" customHeight="1">
      <c r="A70" s="719" t="s">
        <v>368</v>
      </c>
      <c r="B70" s="720"/>
      <c r="C70" s="720"/>
      <c r="D70" s="720"/>
      <c r="E70" s="720"/>
      <c r="F70" s="720"/>
      <c r="G70" s="582"/>
      <c r="H70" s="31"/>
      <c r="I70" s="31"/>
      <c r="J70" s="31"/>
      <c r="K70" s="31"/>
      <c r="L70" s="31"/>
      <c r="M70" s="31"/>
      <c r="N70" s="562"/>
    </row>
    <row r="71" spans="1:14" s="381" customFormat="1" ht="31.95" customHeight="1">
      <c r="A71" s="742" t="s">
        <v>534</v>
      </c>
      <c r="B71" s="743"/>
      <c r="C71" s="743"/>
      <c r="D71" s="743"/>
      <c r="E71" s="743"/>
      <c r="F71" s="744"/>
      <c r="G71" s="582"/>
      <c r="H71" s="31"/>
      <c r="I71" s="31"/>
      <c r="J71" s="31"/>
      <c r="K71" s="31"/>
      <c r="L71" s="31"/>
      <c r="M71" s="31"/>
      <c r="N71" s="562"/>
    </row>
    <row r="72" spans="1:14" s="381" customFormat="1">
      <c r="A72" s="724"/>
      <c r="B72" s="725"/>
      <c r="C72" s="725"/>
      <c r="D72" s="725"/>
      <c r="E72" s="725"/>
      <c r="F72" s="725"/>
      <c r="G72" s="582"/>
      <c r="H72" s="31"/>
      <c r="I72" s="31"/>
      <c r="J72" s="31"/>
      <c r="K72" s="31"/>
      <c r="L72" s="31"/>
      <c r="M72" s="31"/>
      <c r="N72" s="562"/>
    </row>
    <row r="73" spans="1:14" s="381" customFormat="1">
      <c r="A73" s="597" t="s">
        <v>344</v>
      </c>
      <c r="B73" s="587"/>
      <c r="C73" s="686"/>
      <c r="D73" s="587"/>
      <c r="E73" s="587"/>
      <c r="F73" s="587"/>
      <c r="G73" s="582"/>
      <c r="H73" s="31"/>
      <c r="I73" s="31"/>
      <c r="J73" s="31"/>
      <c r="K73" s="31"/>
      <c r="L73" s="31"/>
      <c r="M73" s="31"/>
      <c r="N73" s="562"/>
    </row>
    <row r="74" spans="1:14" s="381" customFormat="1" ht="28.8" customHeight="1">
      <c r="A74" s="726" t="s">
        <v>345</v>
      </c>
      <c r="B74" s="727"/>
      <c r="C74" s="727"/>
      <c r="D74" s="727"/>
      <c r="E74" s="727"/>
      <c r="F74" s="727"/>
      <c r="G74" s="582"/>
      <c r="H74" s="31"/>
      <c r="I74" s="31"/>
      <c r="J74" s="31"/>
      <c r="K74" s="31"/>
      <c r="L74" s="31"/>
      <c r="M74" s="31"/>
      <c r="N74" s="562"/>
    </row>
    <row r="75" spans="1:14" s="381" customFormat="1" ht="17.100000000000001" customHeight="1">
      <c r="A75" s="728" t="s">
        <v>535</v>
      </c>
      <c r="B75" s="729"/>
      <c r="C75" s="729"/>
      <c r="D75" s="729"/>
      <c r="E75" s="729"/>
      <c r="F75" s="730"/>
      <c r="G75" s="582"/>
      <c r="H75" s="31"/>
      <c r="I75" s="31"/>
      <c r="J75" s="31"/>
      <c r="K75" s="31"/>
      <c r="L75" s="31"/>
      <c r="M75" s="31"/>
      <c r="N75" s="562"/>
    </row>
    <row r="76" spans="1:14" s="381" customFormat="1" ht="15.6" thickBot="1">
      <c r="A76" s="598"/>
      <c r="B76" s="599"/>
      <c r="C76" s="600"/>
      <c r="D76" s="599"/>
      <c r="E76" s="599"/>
      <c r="F76" s="599"/>
      <c r="G76" s="601"/>
      <c r="H76" s="31"/>
      <c r="I76" s="31"/>
      <c r="J76" s="31"/>
      <c r="K76" s="31"/>
      <c r="L76" s="31"/>
      <c r="M76" s="31"/>
      <c r="N76" s="562"/>
    </row>
    <row r="77" spans="1:14" s="381" customFormat="1">
      <c r="A77" s="31"/>
      <c r="B77" s="31"/>
      <c r="C77" s="32"/>
      <c r="D77" s="31"/>
      <c r="E77" s="31"/>
      <c r="F77" s="31"/>
      <c r="G77" s="31"/>
      <c r="H77" s="31"/>
      <c r="I77" s="31"/>
      <c r="J77" s="31"/>
      <c r="K77" s="31"/>
      <c r="L77" s="31"/>
      <c r="M77" s="31"/>
      <c r="N77" s="562"/>
    </row>
  </sheetData>
  <mergeCells count="18">
    <mergeCell ref="A1:N1"/>
    <mergeCell ref="N42:N43"/>
    <mergeCell ref="A47:F47"/>
    <mergeCell ref="A48:F48"/>
    <mergeCell ref="A49:B49"/>
    <mergeCell ref="A55:F55"/>
    <mergeCell ref="A56:F56"/>
    <mergeCell ref="A59:F59"/>
    <mergeCell ref="A61:F61"/>
    <mergeCell ref="A62:F62"/>
    <mergeCell ref="A72:F72"/>
    <mergeCell ref="A74:F74"/>
    <mergeCell ref="A75:F75"/>
    <mergeCell ref="A63:F63"/>
    <mergeCell ref="A65:E65"/>
    <mergeCell ref="A66:F66"/>
    <mergeCell ref="A70:F70"/>
    <mergeCell ref="A71:F71"/>
  </mergeCells>
  <printOptions horizontalCentered="1"/>
  <pageMargins left="0.2" right="0.2" top="0.75" bottom="0.75" header="0.3" footer="0.3"/>
  <pageSetup scale="69" orientation="landscape" r:id="rId1"/>
  <headerFooter>
    <oddHeader xml:space="preserve">&amp;CDRAFT NOT FOR DISTRIBUTION, INTERNAL USE ONLY
</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39997558519241921"/>
    <pageSetUpPr fitToPage="1"/>
  </sheetPr>
  <dimension ref="A1:O84"/>
  <sheetViews>
    <sheetView zoomScaleNormal="100" workbookViewId="0">
      <selection sqref="A1:N1"/>
    </sheetView>
  </sheetViews>
  <sheetFormatPr defaultRowHeight="14.85"/>
  <cols>
    <col min="1" max="1" width="39.5703125" customWidth="1"/>
    <col min="2" max="2" width="19.140625" bestFit="1" customWidth="1"/>
    <col min="3" max="3" width="7.7109375" style="30" customWidth="1"/>
    <col min="4" max="4" width="17.42578125" customWidth="1"/>
    <col min="5" max="5" width="10.7109375" customWidth="1"/>
    <col min="6" max="6" width="11" customWidth="1"/>
    <col min="7" max="7" width="9.5703125" customWidth="1"/>
    <col min="8" max="8" width="10.5703125" bestFit="1" customWidth="1"/>
    <col min="9" max="9" width="7.140625" customWidth="1"/>
    <col min="10" max="10" width="8" bestFit="1" customWidth="1"/>
    <col min="11" max="11" width="7.7109375" customWidth="1"/>
    <col min="12" max="12" width="9.7109375" customWidth="1"/>
    <col min="13" max="13" width="9.140625" customWidth="1"/>
    <col min="14" max="14" width="32.5703125" bestFit="1" customWidth="1"/>
    <col min="15" max="15" width="53.5703125" customWidth="1"/>
  </cols>
  <sheetData>
    <row r="1" spans="1:15" ht="15.6">
      <c r="A1" s="745" t="s">
        <v>536</v>
      </c>
      <c r="B1" s="745"/>
      <c r="C1" s="745"/>
      <c r="D1" s="745"/>
      <c r="E1" s="745"/>
      <c r="F1" s="745"/>
      <c r="G1" s="745"/>
      <c r="H1" s="745"/>
      <c r="I1" s="745"/>
      <c r="J1" s="745"/>
      <c r="K1" s="745"/>
      <c r="L1" s="745"/>
      <c r="M1" s="745"/>
      <c r="N1" s="745"/>
      <c r="O1" s="381"/>
    </row>
    <row r="2" spans="1:15">
      <c r="A2" s="65" t="s">
        <v>537</v>
      </c>
      <c r="B2" s="381"/>
      <c r="C2" s="687"/>
      <c r="D2" s="381"/>
      <c r="E2" s="381"/>
      <c r="F2" s="381"/>
      <c r="G2" s="381"/>
      <c r="H2" s="381"/>
      <c r="I2" s="381"/>
      <c r="J2" s="381"/>
      <c r="K2" s="381"/>
      <c r="L2" s="381"/>
      <c r="M2" s="381"/>
      <c r="N2" s="381"/>
      <c r="O2" s="381"/>
    </row>
    <row r="3" spans="1:15">
      <c r="A3" s="65" t="s">
        <v>538</v>
      </c>
      <c r="B3" s="381"/>
      <c r="C3" s="687"/>
      <c r="D3" s="381"/>
      <c r="E3" s="381"/>
      <c r="F3" s="554" t="s">
        <v>275</v>
      </c>
      <c r="G3" s="381"/>
      <c r="H3" s="381"/>
      <c r="I3" s="381"/>
      <c r="J3" s="381"/>
      <c r="K3" s="381"/>
      <c r="L3" s="381"/>
      <c r="M3" s="381"/>
      <c r="N3" s="381"/>
      <c r="O3" s="381"/>
    </row>
    <row r="4" spans="1:15">
      <c r="A4" s="65" t="s">
        <v>539</v>
      </c>
      <c r="B4" s="31"/>
      <c r="C4" s="32"/>
      <c r="D4" s="31"/>
      <c r="E4" s="31"/>
      <c r="F4" s="381"/>
      <c r="G4" s="381"/>
      <c r="H4" s="381"/>
      <c r="I4" s="381"/>
      <c r="J4" s="381"/>
      <c r="K4" s="381"/>
      <c r="L4" s="381"/>
      <c r="M4" s="381"/>
      <c r="N4" s="381"/>
      <c r="O4" s="381"/>
    </row>
    <row r="5" spans="1:15" ht="29.7">
      <c r="A5" s="33"/>
      <c r="B5" s="33" t="s">
        <v>277</v>
      </c>
      <c r="C5" s="1" t="s">
        <v>278</v>
      </c>
      <c r="D5" s="2" t="s">
        <v>350</v>
      </c>
      <c r="E5" s="34" t="s">
        <v>280</v>
      </c>
      <c r="F5" s="35" t="s">
        <v>282</v>
      </c>
      <c r="G5" s="35" t="s">
        <v>0</v>
      </c>
      <c r="H5" s="35" t="s">
        <v>1</v>
      </c>
      <c r="I5" s="35" t="s">
        <v>2</v>
      </c>
      <c r="J5" s="35" t="s">
        <v>3</v>
      </c>
      <c r="K5" s="35" t="s">
        <v>4</v>
      </c>
      <c r="L5" s="35" t="s">
        <v>34</v>
      </c>
      <c r="M5" s="2" t="s">
        <v>283</v>
      </c>
      <c r="N5" s="35" t="s">
        <v>284</v>
      </c>
      <c r="O5" s="381"/>
    </row>
    <row r="6" spans="1:15">
      <c r="A6" s="69" t="s">
        <v>285</v>
      </c>
      <c r="B6" s="70"/>
      <c r="C6" s="71"/>
      <c r="D6" s="70"/>
      <c r="E6" s="70"/>
      <c r="F6" s="72"/>
      <c r="G6" s="72"/>
      <c r="H6" s="72"/>
      <c r="I6" s="72"/>
      <c r="J6" s="72"/>
      <c r="K6" s="72"/>
      <c r="L6" s="72"/>
      <c r="M6" s="72"/>
      <c r="N6" s="72"/>
      <c r="O6" s="557" t="s">
        <v>540</v>
      </c>
    </row>
    <row r="7" spans="1:15" ht="29.7">
      <c r="A7" s="36" t="s">
        <v>541</v>
      </c>
      <c r="B7" s="36" t="s">
        <v>542</v>
      </c>
      <c r="C7" s="37" t="s">
        <v>287</v>
      </c>
      <c r="D7" s="38">
        <v>1</v>
      </c>
      <c r="E7" s="263">
        <v>126</v>
      </c>
      <c r="F7" s="309">
        <f t="shared" ref="F7:F13" si="0">SUM(G7:M7)</f>
        <v>128</v>
      </c>
      <c r="G7" s="310">
        <v>0</v>
      </c>
      <c r="H7" s="310">
        <v>128</v>
      </c>
      <c r="I7" s="310">
        <v>0</v>
      </c>
      <c r="J7" s="310">
        <v>0</v>
      </c>
      <c r="K7" s="310">
        <v>0</v>
      </c>
      <c r="L7" s="310">
        <v>0</v>
      </c>
      <c r="M7" s="311">
        <v>0</v>
      </c>
      <c r="N7" s="352" t="s">
        <v>543</v>
      </c>
      <c r="O7" s="558" t="s">
        <v>544</v>
      </c>
    </row>
    <row r="8" spans="1:15" ht="29.7">
      <c r="A8" s="382" t="s">
        <v>545</v>
      </c>
      <c r="B8" s="36" t="s">
        <v>546</v>
      </c>
      <c r="C8" s="37" t="s">
        <v>287</v>
      </c>
      <c r="D8" s="39">
        <v>1</v>
      </c>
      <c r="E8" s="263">
        <v>107</v>
      </c>
      <c r="F8" s="309">
        <f t="shared" si="0"/>
        <v>110</v>
      </c>
      <c r="G8" s="310">
        <v>0</v>
      </c>
      <c r="H8" s="310">
        <v>110</v>
      </c>
      <c r="I8" s="310">
        <v>0</v>
      </c>
      <c r="J8" s="310">
        <v>0</v>
      </c>
      <c r="K8" s="310">
        <v>0</v>
      </c>
      <c r="L8" s="310">
        <v>0</v>
      </c>
      <c r="M8" s="311">
        <v>0</v>
      </c>
      <c r="N8" s="352" t="s">
        <v>543</v>
      </c>
      <c r="O8" s="559" t="s">
        <v>547</v>
      </c>
    </row>
    <row r="9" spans="1:15" ht="29.7">
      <c r="A9" s="36" t="s">
        <v>548</v>
      </c>
      <c r="B9" s="264" t="s">
        <v>549</v>
      </c>
      <c r="C9" s="37" t="s">
        <v>287</v>
      </c>
      <c r="D9" s="39">
        <v>1</v>
      </c>
      <c r="E9" s="263">
        <v>79</v>
      </c>
      <c r="F9" s="309">
        <f t="shared" si="0"/>
        <v>82</v>
      </c>
      <c r="G9" s="310">
        <v>0</v>
      </c>
      <c r="H9" s="310">
        <v>82</v>
      </c>
      <c r="I9" s="310">
        <v>0</v>
      </c>
      <c r="J9" s="310">
        <v>0</v>
      </c>
      <c r="K9" s="310">
        <v>0</v>
      </c>
      <c r="L9" s="310">
        <v>0</v>
      </c>
      <c r="M9" s="311">
        <v>0</v>
      </c>
      <c r="N9" s="352" t="s">
        <v>543</v>
      </c>
      <c r="O9" s="559" t="s">
        <v>550</v>
      </c>
    </row>
    <row r="10" spans="1:15" ht="15.05" customHeight="1">
      <c r="A10" s="36" t="s">
        <v>551</v>
      </c>
      <c r="B10" s="381"/>
      <c r="C10" s="37" t="s">
        <v>287</v>
      </c>
      <c r="D10" s="39">
        <v>0</v>
      </c>
      <c r="E10" s="263">
        <v>0</v>
      </c>
      <c r="F10" s="309">
        <f t="shared" si="0"/>
        <v>0</v>
      </c>
      <c r="G10" s="310">
        <v>0</v>
      </c>
      <c r="H10" s="310">
        <v>0</v>
      </c>
      <c r="I10" s="310">
        <v>0</v>
      </c>
      <c r="J10" s="310">
        <v>0</v>
      </c>
      <c r="K10" s="310">
        <v>0</v>
      </c>
      <c r="L10" s="310">
        <v>0</v>
      </c>
      <c r="M10" s="311">
        <v>0</v>
      </c>
      <c r="N10" s="355"/>
      <c r="O10" s="381"/>
    </row>
    <row r="11" spans="1:15" ht="15.05" customHeight="1">
      <c r="A11" s="36" t="s">
        <v>286</v>
      </c>
      <c r="B11" s="36"/>
      <c r="C11" s="37" t="s">
        <v>287</v>
      </c>
      <c r="D11" s="39"/>
      <c r="E11" s="263">
        <v>0</v>
      </c>
      <c r="F11" s="309">
        <f t="shared" si="0"/>
        <v>0</v>
      </c>
      <c r="G11" s="310">
        <v>0</v>
      </c>
      <c r="H11" s="310">
        <v>0</v>
      </c>
      <c r="I11" s="310">
        <v>0</v>
      </c>
      <c r="J11" s="310">
        <v>0</v>
      </c>
      <c r="K11" s="310">
        <v>0</v>
      </c>
      <c r="L11" s="310">
        <v>0</v>
      </c>
      <c r="M11" s="311">
        <v>0</v>
      </c>
      <c r="N11" s="355"/>
      <c r="O11" s="381"/>
    </row>
    <row r="12" spans="1:15" ht="15.05" customHeight="1">
      <c r="A12" s="36" t="s">
        <v>286</v>
      </c>
      <c r="B12" s="264"/>
      <c r="C12" s="37" t="s">
        <v>287</v>
      </c>
      <c r="D12" s="39"/>
      <c r="E12" s="263">
        <v>0</v>
      </c>
      <c r="F12" s="309">
        <f t="shared" si="0"/>
        <v>0</v>
      </c>
      <c r="G12" s="310">
        <v>0</v>
      </c>
      <c r="H12" s="310">
        <v>0</v>
      </c>
      <c r="I12" s="310">
        <v>0</v>
      </c>
      <c r="J12" s="310">
        <v>0</v>
      </c>
      <c r="K12" s="310">
        <v>0</v>
      </c>
      <c r="L12" s="310">
        <v>0</v>
      </c>
      <c r="M12" s="311">
        <v>0</v>
      </c>
      <c r="N12" s="355"/>
      <c r="O12" s="381"/>
    </row>
    <row r="13" spans="1:15">
      <c r="A13" s="36" t="s">
        <v>286</v>
      </c>
      <c r="B13" s="264"/>
      <c r="C13" s="37" t="s">
        <v>287</v>
      </c>
      <c r="D13" s="39"/>
      <c r="E13" s="263">
        <v>0</v>
      </c>
      <c r="F13" s="309">
        <f t="shared" si="0"/>
        <v>0</v>
      </c>
      <c r="G13" s="310">
        <v>0</v>
      </c>
      <c r="H13" s="310">
        <v>0</v>
      </c>
      <c r="I13" s="310">
        <v>0</v>
      </c>
      <c r="J13" s="310">
        <v>0</v>
      </c>
      <c r="K13" s="310">
        <v>0</v>
      </c>
      <c r="L13" s="310">
        <v>0</v>
      </c>
      <c r="M13" s="311">
        <v>0</v>
      </c>
      <c r="N13" s="355"/>
      <c r="O13" s="381"/>
    </row>
    <row r="14" spans="1:15">
      <c r="A14" s="36" t="s">
        <v>286</v>
      </c>
      <c r="B14" s="264"/>
      <c r="C14" s="37" t="s">
        <v>287</v>
      </c>
      <c r="D14" s="39"/>
      <c r="E14" s="263">
        <v>0</v>
      </c>
      <c r="F14" s="309">
        <f>SUM(G14:M14)</f>
        <v>0</v>
      </c>
      <c r="G14" s="310">
        <v>0</v>
      </c>
      <c r="H14" s="310">
        <v>0</v>
      </c>
      <c r="I14" s="310">
        <v>0</v>
      </c>
      <c r="J14" s="310">
        <v>0</v>
      </c>
      <c r="K14" s="310">
        <v>0</v>
      </c>
      <c r="L14" s="310">
        <v>0</v>
      </c>
      <c r="M14" s="311">
        <v>0</v>
      </c>
      <c r="N14" s="355"/>
      <c r="O14" s="381"/>
    </row>
    <row r="15" spans="1:15">
      <c r="A15" s="36" t="s">
        <v>286</v>
      </c>
      <c r="B15" s="265"/>
      <c r="C15" s="37" t="s">
        <v>287</v>
      </c>
      <c r="D15" s="39"/>
      <c r="E15" s="263">
        <v>0</v>
      </c>
      <c r="F15" s="309">
        <f>SUM(G15:M15)</f>
        <v>0</v>
      </c>
      <c r="G15" s="310">
        <v>0</v>
      </c>
      <c r="H15" s="310">
        <v>0</v>
      </c>
      <c r="I15" s="310">
        <v>0</v>
      </c>
      <c r="J15" s="310">
        <v>0</v>
      </c>
      <c r="K15" s="310">
        <v>0</v>
      </c>
      <c r="L15" s="310">
        <v>0</v>
      </c>
      <c r="M15" s="311">
        <v>0</v>
      </c>
      <c r="N15" s="355"/>
      <c r="O15" s="381"/>
    </row>
    <row r="16" spans="1:15">
      <c r="A16" s="40" t="s">
        <v>288</v>
      </c>
      <c r="B16" s="265"/>
      <c r="C16" s="266"/>
      <c r="D16" s="41">
        <f t="shared" ref="D16:N16" si="1">SUM(D7:D15)</f>
        <v>3</v>
      </c>
      <c r="E16" s="43">
        <f t="shared" si="1"/>
        <v>312</v>
      </c>
      <c r="F16" s="43">
        <f t="shared" si="1"/>
        <v>320</v>
      </c>
      <c r="G16" s="43">
        <f t="shared" si="1"/>
        <v>0</v>
      </c>
      <c r="H16" s="43">
        <f t="shared" si="1"/>
        <v>320</v>
      </c>
      <c r="I16" s="43">
        <f t="shared" si="1"/>
        <v>0</v>
      </c>
      <c r="J16" s="43">
        <f t="shared" si="1"/>
        <v>0</v>
      </c>
      <c r="K16" s="43">
        <f t="shared" si="1"/>
        <v>0</v>
      </c>
      <c r="L16" s="43">
        <f t="shared" si="1"/>
        <v>0</v>
      </c>
      <c r="M16" s="43">
        <f t="shared" si="1"/>
        <v>0</v>
      </c>
      <c r="N16" s="43">
        <f t="shared" si="1"/>
        <v>0</v>
      </c>
      <c r="O16" s="381"/>
    </row>
    <row r="17" spans="1:15">
      <c r="A17" s="69" t="s">
        <v>289</v>
      </c>
      <c r="B17" s="70"/>
      <c r="C17" s="71"/>
      <c r="D17" s="70"/>
      <c r="E17" s="70"/>
      <c r="F17" s="72"/>
      <c r="G17" s="72"/>
      <c r="H17" s="72"/>
      <c r="I17" s="72"/>
      <c r="J17" s="72"/>
      <c r="K17" s="72"/>
      <c r="L17" s="72"/>
      <c r="M17" s="72"/>
      <c r="N17" s="72"/>
      <c r="O17" s="381"/>
    </row>
    <row r="18" spans="1:15">
      <c r="A18" s="555" t="s">
        <v>552</v>
      </c>
      <c r="B18" s="264"/>
      <c r="C18" s="44">
        <v>253</v>
      </c>
      <c r="D18" s="45"/>
      <c r="E18" s="263">
        <v>500</v>
      </c>
      <c r="F18" s="357">
        <f>SUM(G18:M18)</f>
        <v>500</v>
      </c>
      <c r="G18" s="310">
        <v>0</v>
      </c>
      <c r="H18" s="310">
        <v>500</v>
      </c>
      <c r="I18" s="310">
        <v>0</v>
      </c>
      <c r="J18" s="310">
        <v>0</v>
      </c>
      <c r="K18" s="310">
        <v>0</v>
      </c>
      <c r="L18" s="310">
        <v>0</v>
      </c>
      <c r="M18" s="311">
        <v>0</v>
      </c>
      <c r="N18" s="355" t="s">
        <v>553</v>
      </c>
      <c r="O18" s="381"/>
    </row>
    <row r="19" spans="1:15">
      <c r="A19" s="555" t="s">
        <v>554</v>
      </c>
      <c r="B19" s="264"/>
      <c r="C19" s="44">
        <v>253</v>
      </c>
      <c r="D19" s="45"/>
      <c r="E19" s="263">
        <v>50</v>
      </c>
      <c r="F19" s="357">
        <f>SUM(G19:M19)</f>
        <v>50</v>
      </c>
      <c r="G19" s="310">
        <v>0</v>
      </c>
      <c r="H19" s="310">
        <v>50</v>
      </c>
      <c r="I19" s="310">
        <v>0</v>
      </c>
      <c r="J19" s="310">
        <v>0</v>
      </c>
      <c r="K19" s="310">
        <v>0</v>
      </c>
      <c r="L19" s="310">
        <v>0</v>
      </c>
      <c r="M19" s="311">
        <v>0</v>
      </c>
      <c r="N19" s="355" t="s">
        <v>553</v>
      </c>
      <c r="O19" s="381"/>
    </row>
    <row r="20" spans="1:15">
      <c r="A20" s="555" t="s">
        <v>555</v>
      </c>
      <c r="B20" s="264"/>
      <c r="C20" s="44">
        <v>253</v>
      </c>
      <c r="D20" s="267"/>
      <c r="E20" s="263">
        <v>500</v>
      </c>
      <c r="F20" s="357">
        <f>SUM(G20:M20)</f>
        <v>500</v>
      </c>
      <c r="G20" s="310">
        <v>0</v>
      </c>
      <c r="H20" s="310">
        <v>500</v>
      </c>
      <c r="I20" s="310">
        <v>0</v>
      </c>
      <c r="J20" s="310">
        <v>0</v>
      </c>
      <c r="K20" s="310">
        <v>0</v>
      </c>
      <c r="L20" s="310">
        <v>0</v>
      </c>
      <c r="M20" s="311">
        <v>0</v>
      </c>
      <c r="N20" s="355" t="s">
        <v>553</v>
      </c>
      <c r="O20" s="381"/>
    </row>
    <row r="21" spans="1:15" s="7" customFormat="1" ht="44.55">
      <c r="A21" s="264" t="s">
        <v>556</v>
      </c>
      <c r="B21" s="264"/>
      <c r="C21" s="44">
        <v>253</v>
      </c>
      <c r="D21" s="267"/>
      <c r="E21" s="263">
        <v>25</v>
      </c>
      <c r="F21" s="357">
        <f>SUM(G21:M21)</f>
        <v>25</v>
      </c>
      <c r="G21" s="310">
        <v>0</v>
      </c>
      <c r="H21" s="310">
        <v>25</v>
      </c>
      <c r="I21" s="310">
        <v>0</v>
      </c>
      <c r="J21" s="310">
        <v>0</v>
      </c>
      <c r="K21" s="310">
        <v>0</v>
      </c>
      <c r="L21" s="310">
        <v>0</v>
      </c>
      <c r="M21" s="311">
        <v>0</v>
      </c>
      <c r="N21" s="325" t="s">
        <v>557</v>
      </c>
      <c r="O21" s="556" t="s">
        <v>558</v>
      </c>
    </row>
    <row r="22" spans="1:15">
      <c r="A22" s="40" t="s">
        <v>294</v>
      </c>
      <c r="B22" s="265"/>
      <c r="C22" s="266"/>
      <c r="D22" s="267">
        <f>SUM(D18:D21)</f>
        <v>0</v>
      </c>
      <c r="E22" s="307">
        <f>SUM(E18:E21)</f>
        <v>1075</v>
      </c>
      <c r="F22" s="307">
        <f>SUM(F18:F21)</f>
        <v>1075</v>
      </c>
      <c r="G22" s="307">
        <f t="shared" ref="G22:M22" si="2">SUM(G18:G21)</f>
        <v>0</v>
      </c>
      <c r="H22" s="307">
        <f t="shared" si="2"/>
        <v>1075</v>
      </c>
      <c r="I22" s="307">
        <f t="shared" si="2"/>
        <v>0</v>
      </c>
      <c r="J22" s="307">
        <f t="shared" si="2"/>
        <v>0</v>
      </c>
      <c r="K22" s="307">
        <f t="shared" si="2"/>
        <v>0</v>
      </c>
      <c r="L22" s="307">
        <f t="shared" si="2"/>
        <v>0</v>
      </c>
      <c r="M22" s="307">
        <f t="shared" si="2"/>
        <v>0</v>
      </c>
      <c r="N22" s="355"/>
      <c r="O22" s="381"/>
    </row>
    <row r="23" spans="1:15" s="7" customFormat="1">
      <c r="A23" s="127" t="s">
        <v>295</v>
      </c>
      <c r="B23" s="128"/>
      <c r="C23" s="128"/>
      <c r="D23" s="128"/>
      <c r="E23" s="89"/>
      <c r="F23" s="89"/>
      <c r="G23" s="89"/>
      <c r="H23" s="89"/>
      <c r="I23" s="89"/>
      <c r="J23" s="89"/>
      <c r="K23" s="89"/>
      <c r="L23" s="89"/>
      <c r="M23" s="89"/>
      <c r="N23" s="130"/>
      <c r="O23" s="358"/>
    </row>
    <row r="24" spans="1:15" ht="44.55">
      <c r="A24" s="264" t="s">
        <v>296</v>
      </c>
      <c r="B24" s="36"/>
      <c r="C24" s="37" t="s">
        <v>297</v>
      </c>
      <c r="D24" s="38">
        <v>0</v>
      </c>
      <c r="E24" s="263">
        <v>10</v>
      </c>
      <c r="F24" s="309">
        <f t="shared" ref="F24:F37" si="3">SUM(G24:M24)</f>
        <v>10</v>
      </c>
      <c r="G24" s="310">
        <v>0</v>
      </c>
      <c r="H24" s="310">
        <v>10</v>
      </c>
      <c r="I24" s="310">
        <v>0</v>
      </c>
      <c r="J24" s="310">
        <v>0</v>
      </c>
      <c r="K24" s="310">
        <v>0</v>
      </c>
      <c r="L24" s="310">
        <v>0</v>
      </c>
      <c r="M24" s="311">
        <v>0</v>
      </c>
      <c r="N24" s="325" t="s">
        <v>559</v>
      </c>
      <c r="O24" s="381"/>
    </row>
    <row r="25" spans="1:15">
      <c r="A25" s="264" t="s">
        <v>298</v>
      </c>
      <c r="B25" s="36"/>
      <c r="C25" s="44" t="s">
        <v>299</v>
      </c>
      <c r="D25" s="45"/>
      <c r="E25" s="263">
        <v>0</v>
      </c>
      <c r="F25" s="309">
        <f t="shared" si="3"/>
        <v>0</v>
      </c>
      <c r="G25" s="310">
        <v>0</v>
      </c>
      <c r="H25" s="310">
        <v>0</v>
      </c>
      <c r="I25" s="310">
        <v>0</v>
      </c>
      <c r="J25" s="310">
        <v>0</v>
      </c>
      <c r="K25" s="310">
        <v>0</v>
      </c>
      <c r="L25" s="310">
        <v>0</v>
      </c>
      <c r="M25" s="311">
        <v>0</v>
      </c>
      <c r="N25" s="355"/>
      <c r="O25" s="381"/>
    </row>
    <row r="26" spans="1:15">
      <c r="A26" s="264" t="s">
        <v>300</v>
      </c>
      <c r="B26" s="36"/>
      <c r="C26" s="44" t="s">
        <v>301</v>
      </c>
      <c r="D26" s="45"/>
      <c r="E26" s="263">
        <v>0</v>
      </c>
      <c r="F26" s="309">
        <f t="shared" si="3"/>
        <v>0</v>
      </c>
      <c r="G26" s="310">
        <v>0</v>
      </c>
      <c r="H26" s="310">
        <v>0</v>
      </c>
      <c r="I26" s="310">
        <v>0</v>
      </c>
      <c r="J26" s="310">
        <v>0</v>
      </c>
      <c r="K26" s="310">
        <v>0</v>
      </c>
      <c r="L26" s="310">
        <v>0</v>
      </c>
      <c r="M26" s="311">
        <v>0</v>
      </c>
      <c r="N26" s="355"/>
      <c r="O26" s="381"/>
    </row>
    <row r="27" spans="1:15">
      <c r="A27" s="264" t="s">
        <v>302</v>
      </c>
      <c r="B27" s="36"/>
      <c r="C27" s="44" t="s">
        <v>303</v>
      </c>
      <c r="D27" s="45"/>
      <c r="E27" s="263">
        <v>0</v>
      </c>
      <c r="F27" s="309">
        <f t="shared" si="3"/>
        <v>0</v>
      </c>
      <c r="G27" s="310">
        <v>0</v>
      </c>
      <c r="H27" s="310">
        <v>0</v>
      </c>
      <c r="I27" s="310">
        <v>0</v>
      </c>
      <c r="J27" s="310">
        <v>0</v>
      </c>
      <c r="K27" s="310">
        <v>0</v>
      </c>
      <c r="L27" s="310">
        <v>0</v>
      </c>
      <c r="M27" s="311">
        <v>0</v>
      </c>
      <c r="N27" s="355"/>
      <c r="O27" s="381"/>
    </row>
    <row r="28" spans="1:15">
      <c r="A28" s="264" t="s">
        <v>304</v>
      </c>
      <c r="B28" s="36"/>
      <c r="C28" s="44">
        <v>251</v>
      </c>
      <c r="D28" s="45"/>
      <c r="E28" s="263">
        <v>0</v>
      </c>
      <c r="F28" s="309">
        <f t="shared" si="3"/>
        <v>0</v>
      </c>
      <c r="G28" s="310">
        <v>0</v>
      </c>
      <c r="H28" s="310">
        <v>0</v>
      </c>
      <c r="I28" s="310">
        <v>0</v>
      </c>
      <c r="J28" s="310">
        <v>0</v>
      </c>
      <c r="K28" s="310">
        <v>0</v>
      </c>
      <c r="L28" s="310">
        <v>0</v>
      </c>
      <c r="M28" s="311">
        <v>0</v>
      </c>
      <c r="N28" s="355"/>
      <c r="O28" s="381"/>
    </row>
    <row r="29" spans="1:15">
      <c r="A29" s="264" t="s">
        <v>313</v>
      </c>
      <c r="B29" s="36"/>
      <c r="C29" s="44">
        <v>252</v>
      </c>
      <c r="D29" s="45"/>
      <c r="E29" s="263">
        <v>0</v>
      </c>
      <c r="F29" s="309">
        <f t="shared" si="3"/>
        <v>0</v>
      </c>
      <c r="G29" s="310">
        <v>0</v>
      </c>
      <c r="H29" s="310"/>
      <c r="I29" s="310">
        <v>0</v>
      </c>
      <c r="J29" s="310">
        <v>0</v>
      </c>
      <c r="K29" s="310">
        <v>0</v>
      </c>
      <c r="L29" s="310">
        <v>0</v>
      </c>
      <c r="M29" s="311">
        <v>0</v>
      </c>
      <c r="N29" s="355"/>
      <c r="O29" s="381"/>
    </row>
    <row r="30" spans="1:15" s="381" customFormat="1" ht="29.7">
      <c r="A30" s="502" t="s">
        <v>313</v>
      </c>
      <c r="B30" s="382" t="s">
        <v>560</v>
      </c>
      <c r="C30" s="44">
        <v>252</v>
      </c>
      <c r="D30" s="45"/>
      <c r="E30" s="263">
        <v>3</v>
      </c>
      <c r="F30" s="309">
        <f t="shared" si="3"/>
        <v>3</v>
      </c>
      <c r="G30" s="310">
        <v>0</v>
      </c>
      <c r="H30" s="310">
        <v>3</v>
      </c>
      <c r="I30" s="310">
        <v>0</v>
      </c>
      <c r="J30" s="310">
        <v>0</v>
      </c>
      <c r="K30" s="310">
        <v>0</v>
      </c>
      <c r="L30" s="310">
        <v>0</v>
      </c>
      <c r="M30" s="311">
        <v>0</v>
      </c>
      <c r="N30" s="325" t="s">
        <v>561</v>
      </c>
      <c r="O30" s="53" t="s">
        <v>562</v>
      </c>
    </row>
    <row r="31" spans="1:15">
      <c r="A31" s="264" t="s">
        <v>314</v>
      </c>
      <c r="B31" s="36"/>
      <c r="C31" s="44">
        <v>252</v>
      </c>
      <c r="D31" s="45"/>
      <c r="E31" s="263">
        <v>2</v>
      </c>
      <c r="F31" s="309">
        <f t="shared" si="3"/>
        <v>2</v>
      </c>
      <c r="G31" s="310">
        <v>0</v>
      </c>
      <c r="H31" s="310">
        <v>2</v>
      </c>
      <c r="I31" s="310">
        <v>0</v>
      </c>
      <c r="J31" s="310">
        <v>0</v>
      </c>
      <c r="K31" s="310">
        <v>0</v>
      </c>
      <c r="L31" s="310">
        <v>0</v>
      </c>
      <c r="M31" s="311">
        <v>0</v>
      </c>
      <c r="N31" s="352" t="s">
        <v>563</v>
      </c>
      <c r="O31" s="381"/>
    </row>
    <row r="32" spans="1:15">
      <c r="A32" s="264" t="s">
        <v>315</v>
      </c>
      <c r="B32" s="36"/>
      <c r="C32" s="44">
        <v>253</v>
      </c>
      <c r="D32" s="264"/>
      <c r="E32" s="263">
        <v>0</v>
      </c>
      <c r="F32" s="309">
        <f t="shared" si="3"/>
        <v>0</v>
      </c>
      <c r="G32" s="310">
        <v>0</v>
      </c>
      <c r="H32" s="310">
        <v>0</v>
      </c>
      <c r="I32" s="310">
        <v>0</v>
      </c>
      <c r="J32" s="310">
        <v>0</v>
      </c>
      <c r="K32" s="310">
        <v>0</v>
      </c>
      <c r="L32" s="310">
        <v>0</v>
      </c>
      <c r="M32" s="311">
        <v>0</v>
      </c>
      <c r="N32" s="355"/>
      <c r="O32" s="381"/>
    </row>
    <row r="33" spans="1:15">
      <c r="A33" s="264" t="s">
        <v>316</v>
      </c>
      <c r="B33" s="36"/>
      <c r="C33" s="44">
        <v>255</v>
      </c>
      <c r="D33" s="264"/>
      <c r="E33" s="263">
        <v>0</v>
      </c>
      <c r="F33" s="309">
        <f t="shared" si="3"/>
        <v>0</v>
      </c>
      <c r="G33" s="310">
        <v>0</v>
      </c>
      <c r="H33" s="310">
        <v>0</v>
      </c>
      <c r="I33" s="310">
        <v>0</v>
      </c>
      <c r="J33" s="310">
        <v>0</v>
      </c>
      <c r="K33" s="310">
        <v>0</v>
      </c>
      <c r="L33" s="310">
        <v>0</v>
      </c>
      <c r="M33" s="311">
        <v>0</v>
      </c>
      <c r="N33" s="355"/>
      <c r="O33" s="381"/>
    </row>
    <row r="34" spans="1:15">
      <c r="A34" s="264" t="s">
        <v>317</v>
      </c>
      <c r="B34" s="36"/>
      <c r="C34" s="44">
        <v>256</v>
      </c>
      <c r="D34" s="264"/>
      <c r="E34" s="263">
        <v>0</v>
      </c>
      <c r="F34" s="309">
        <f t="shared" si="3"/>
        <v>0</v>
      </c>
      <c r="G34" s="310">
        <v>0</v>
      </c>
      <c r="H34" s="310">
        <v>0</v>
      </c>
      <c r="I34" s="310">
        <v>0</v>
      </c>
      <c r="J34" s="310">
        <v>0</v>
      </c>
      <c r="K34" s="310">
        <v>0</v>
      </c>
      <c r="L34" s="310">
        <v>0</v>
      </c>
      <c r="M34" s="311">
        <v>0</v>
      </c>
      <c r="N34" s="355"/>
      <c r="O34" s="381"/>
    </row>
    <row r="35" spans="1:15" ht="44.55">
      <c r="A35" s="264" t="s">
        <v>318</v>
      </c>
      <c r="B35" s="36" t="s">
        <v>564</v>
      </c>
      <c r="C35" s="44">
        <v>257</v>
      </c>
      <c r="D35" s="264"/>
      <c r="E35" s="263">
        <v>6</v>
      </c>
      <c r="F35" s="309">
        <f t="shared" si="3"/>
        <v>6</v>
      </c>
      <c r="G35" s="310">
        <v>0</v>
      </c>
      <c r="H35" s="310">
        <v>6</v>
      </c>
      <c r="I35" s="310">
        <v>0</v>
      </c>
      <c r="J35" s="310">
        <v>0</v>
      </c>
      <c r="K35" s="310">
        <v>0</v>
      </c>
      <c r="L35" s="310">
        <v>0</v>
      </c>
      <c r="M35" s="311">
        <v>0</v>
      </c>
      <c r="N35" s="325" t="s">
        <v>565</v>
      </c>
      <c r="O35" s="381"/>
    </row>
    <row r="36" spans="1:15">
      <c r="A36" s="264" t="s">
        <v>319</v>
      </c>
      <c r="B36" s="36"/>
      <c r="C36" s="44" t="s">
        <v>320</v>
      </c>
      <c r="D36" s="264"/>
      <c r="E36" s="263">
        <v>10</v>
      </c>
      <c r="F36" s="309">
        <f t="shared" si="3"/>
        <v>10</v>
      </c>
      <c r="G36" s="310">
        <v>0</v>
      </c>
      <c r="H36" s="310">
        <v>10</v>
      </c>
      <c r="I36" s="310">
        <v>0</v>
      </c>
      <c r="J36" s="310">
        <v>0</v>
      </c>
      <c r="K36" s="310">
        <v>0</v>
      </c>
      <c r="L36" s="310">
        <v>0</v>
      </c>
      <c r="M36" s="311">
        <v>0</v>
      </c>
      <c r="N36" s="352" t="s">
        <v>563</v>
      </c>
      <c r="O36" s="381"/>
    </row>
    <row r="37" spans="1:15" ht="29.7">
      <c r="A37" s="265" t="s">
        <v>321</v>
      </c>
      <c r="B37" s="36"/>
      <c r="C37" s="266" t="s">
        <v>322</v>
      </c>
      <c r="D37" s="265"/>
      <c r="E37" s="263">
        <v>6</v>
      </c>
      <c r="F37" s="309">
        <f t="shared" si="3"/>
        <v>6</v>
      </c>
      <c r="G37" s="310">
        <v>0</v>
      </c>
      <c r="H37" s="310">
        <v>6</v>
      </c>
      <c r="I37" s="310">
        <v>0</v>
      </c>
      <c r="J37" s="310">
        <v>0</v>
      </c>
      <c r="K37" s="310">
        <v>0</v>
      </c>
      <c r="L37" s="310">
        <v>0</v>
      </c>
      <c r="M37" s="311">
        <v>0</v>
      </c>
      <c r="N37" s="325" t="s">
        <v>566</v>
      </c>
      <c r="O37" s="219" t="s">
        <v>567</v>
      </c>
    </row>
    <row r="38" spans="1:15">
      <c r="A38" s="40" t="s">
        <v>326</v>
      </c>
      <c r="B38" s="265"/>
      <c r="C38" s="266"/>
      <c r="D38" s="267"/>
      <c r="E38" s="43">
        <f>SUM(E24:E37)-E29</f>
        <v>37</v>
      </c>
      <c r="F38" s="43">
        <f>SUM(F24:F37)-F29</f>
        <v>37</v>
      </c>
      <c r="G38" s="43">
        <f t="shared" ref="G38:L38" si="4">SUM(G24:G37)-G29</f>
        <v>0</v>
      </c>
      <c r="H38" s="43">
        <f t="shared" si="4"/>
        <v>37</v>
      </c>
      <c r="I38" s="43">
        <f t="shared" si="4"/>
        <v>0</v>
      </c>
      <c r="J38" s="43">
        <f t="shared" si="4"/>
        <v>0</v>
      </c>
      <c r="K38" s="43">
        <f t="shared" si="4"/>
        <v>0</v>
      </c>
      <c r="L38" s="43">
        <f t="shared" si="4"/>
        <v>0</v>
      </c>
      <c r="M38" s="43">
        <f>SUM(M24:M37)-M29</f>
        <v>0</v>
      </c>
      <c r="N38" s="355"/>
      <c r="O38" s="381"/>
    </row>
    <row r="39" spans="1:15" s="151" customFormat="1" ht="29.7">
      <c r="A39" s="40" t="s">
        <v>327</v>
      </c>
      <c r="B39" s="51"/>
      <c r="C39" s="149"/>
      <c r="D39" s="267"/>
      <c r="E39" s="241">
        <v>0</v>
      </c>
      <c r="F39" s="240">
        <f>SUM(G39:L39)</f>
        <v>0</v>
      </c>
      <c r="G39" s="240"/>
      <c r="H39" s="240"/>
      <c r="I39" s="240"/>
      <c r="J39" s="240"/>
      <c r="K39" s="240"/>
      <c r="L39" s="240"/>
      <c r="M39" s="240"/>
      <c r="N39" s="325" t="s">
        <v>568</v>
      </c>
      <c r="O39" s="381"/>
    </row>
    <row r="40" spans="1:15">
      <c r="A40" s="40" t="s">
        <v>328</v>
      </c>
      <c r="B40" s="46"/>
      <c r="C40" s="47"/>
      <c r="D40" s="48">
        <f>D38+D22+D16</f>
        <v>3</v>
      </c>
      <c r="E40" s="17">
        <f>E38+E16-E39</f>
        <v>349</v>
      </c>
      <c r="F40" s="17">
        <f>F38+F16-F39</f>
        <v>357</v>
      </c>
      <c r="G40" s="17">
        <f>G38+G16-G39</f>
        <v>0</v>
      </c>
      <c r="H40" s="17">
        <f>H38+H16-H39</f>
        <v>357</v>
      </c>
      <c r="I40" s="17">
        <f>I38+I22+I16-I39</f>
        <v>0</v>
      </c>
      <c r="J40" s="17">
        <f>J38+J22+J16-J39</f>
        <v>0</v>
      </c>
      <c r="K40" s="17">
        <f>K38+K22+K16-K39</f>
        <v>0</v>
      </c>
      <c r="L40" s="17">
        <f>L38+L22+L16-L39</f>
        <v>0</v>
      </c>
      <c r="M40" s="17">
        <f>M38+M22+M16-M39</f>
        <v>0</v>
      </c>
      <c r="N40" s="353"/>
      <c r="O40" s="381"/>
    </row>
    <row r="42" spans="1:15">
      <c r="A42" s="780" t="s">
        <v>569</v>
      </c>
      <c r="B42" s="781"/>
      <c r="C42" s="781"/>
      <c r="D42" s="781"/>
      <c r="E42" s="782"/>
      <c r="F42" s="309" t="s">
        <v>570</v>
      </c>
      <c r="G42" s="310" t="s">
        <v>0</v>
      </c>
      <c r="H42" s="310" t="s">
        <v>1</v>
      </c>
      <c r="I42" s="310" t="s">
        <v>2</v>
      </c>
      <c r="J42" s="310" t="s">
        <v>3</v>
      </c>
      <c r="K42" s="310" t="s">
        <v>4</v>
      </c>
      <c r="L42" s="310" t="s">
        <v>34</v>
      </c>
      <c r="M42" s="311"/>
      <c r="N42" s="355" t="s">
        <v>284</v>
      </c>
      <c r="O42" s="381"/>
    </row>
    <row r="43" spans="1:15">
      <c r="A43" s="783" t="s">
        <v>571</v>
      </c>
      <c r="B43" s="784"/>
      <c r="C43" s="784"/>
      <c r="D43" s="785"/>
      <c r="E43" s="91"/>
      <c r="F43" s="88"/>
      <c r="G43" s="90">
        <v>0.39800000000000002</v>
      </c>
      <c r="H43" s="90">
        <v>0.41980000000000001</v>
      </c>
      <c r="I43" s="90">
        <v>0.1216</v>
      </c>
      <c r="J43" s="90">
        <v>6.0600000000000001E-2</v>
      </c>
      <c r="K43" s="90"/>
      <c r="L43" s="90"/>
      <c r="M43" s="88"/>
      <c r="N43" s="89"/>
      <c r="O43" s="381"/>
    </row>
    <row r="44" spans="1:15" ht="18" customHeight="1" thickBot="1">
      <c r="A44" s="774" t="s">
        <v>572</v>
      </c>
      <c r="B44" s="775"/>
      <c r="C44" s="775"/>
      <c r="D44" s="776"/>
      <c r="E44" s="83"/>
      <c r="F44" s="84">
        <f>F40</f>
        <v>357</v>
      </c>
      <c r="G44" s="85">
        <f t="shared" ref="G44:M44" si="5">$F44*G43</f>
        <v>142.08600000000001</v>
      </c>
      <c r="H44" s="85">
        <f t="shared" si="5"/>
        <v>149.86860000000001</v>
      </c>
      <c r="I44" s="85">
        <f t="shared" si="5"/>
        <v>43.411200000000001</v>
      </c>
      <c r="J44" s="85">
        <f t="shared" si="5"/>
        <v>21.6342</v>
      </c>
      <c r="K44" s="85">
        <f t="shared" si="5"/>
        <v>0</v>
      </c>
      <c r="L44" s="85">
        <f t="shared" si="5"/>
        <v>0</v>
      </c>
      <c r="M44" s="86">
        <f t="shared" si="5"/>
        <v>0</v>
      </c>
      <c r="N44" s="87"/>
      <c r="O44" s="381"/>
    </row>
    <row r="45" spans="1:15">
      <c r="A45" s="777" t="s">
        <v>573</v>
      </c>
      <c r="B45" s="778"/>
      <c r="C45" s="778"/>
      <c r="D45" s="779"/>
      <c r="E45" s="78"/>
      <c r="F45" s="79"/>
      <c r="G45" s="80">
        <f t="shared" ref="G45:M45" si="6">G40-G44</f>
        <v>-142.08600000000001</v>
      </c>
      <c r="H45" s="80">
        <f t="shared" si="6"/>
        <v>207.13139999999999</v>
      </c>
      <c r="I45" s="80">
        <f t="shared" si="6"/>
        <v>-43.411200000000001</v>
      </c>
      <c r="J45" s="80">
        <f t="shared" si="6"/>
        <v>-21.6342</v>
      </c>
      <c r="K45" s="80">
        <f t="shared" si="6"/>
        <v>0</v>
      </c>
      <c r="L45" s="80">
        <f t="shared" si="6"/>
        <v>0</v>
      </c>
      <c r="M45" s="81">
        <f t="shared" si="6"/>
        <v>0</v>
      </c>
      <c r="N45" s="82"/>
      <c r="O45" s="381"/>
    </row>
    <row r="47" spans="1:15">
      <c r="A47" s="381"/>
      <c r="B47" s="381"/>
      <c r="C47" s="687"/>
      <c r="D47" s="381"/>
      <c r="E47" s="289" t="s">
        <v>574</v>
      </c>
      <c r="F47" s="381" t="s">
        <v>0</v>
      </c>
      <c r="G47" s="29">
        <v>5853</v>
      </c>
      <c r="H47" s="252">
        <f>+G47/$G$51</f>
        <v>0.39794669567582269</v>
      </c>
      <c r="I47" s="53" t="s">
        <v>575</v>
      </c>
      <c r="J47" s="53"/>
      <c r="K47" s="53"/>
      <c r="L47" s="53"/>
      <c r="M47" s="53"/>
      <c r="N47" s="53"/>
      <c r="O47" s="381"/>
    </row>
    <row r="48" spans="1:15">
      <c r="A48" s="381"/>
      <c r="B48" s="381"/>
      <c r="C48" s="687"/>
      <c r="D48" s="381"/>
      <c r="E48" s="381"/>
      <c r="F48" s="381" t="s">
        <v>1</v>
      </c>
      <c r="G48" s="29">
        <v>6175</v>
      </c>
      <c r="H48" s="252">
        <f>+G48/$G$51</f>
        <v>0.41983954310579275</v>
      </c>
      <c r="I48" s="381"/>
      <c r="J48" s="381"/>
      <c r="K48" s="381"/>
      <c r="L48" s="381"/>
      <c r="M48" s="381"/>
      <c r="N48" s="381"/>
      <c r="O48" s="381"/>
    </row>
    <row r="49" spans="1:14">
      <c r="A49" s="381"/>
      <c r="B49" s="381"/>
      <c r="C49" s="687"/>
      <c r="D49" s="381"/>
      <c r="E49" s="381"/>
      <c r="F49" s="381" t="s">
        <v>2</v>
      </c>
      <c r="G49" s="29">
        <v>1789</v>
      </c>
      <c r="H49" s="252">
        <f>+G49/$G$51</f>
        <v>0.12163448463421267</v>
      </c>
      <c r="I49" s="381"/>
      <c r="J49" s="381"/>
      <c r="K49" s="381"/>
      <c r="L49" s="381"/>
      <c r="M49" s="381"/>
      <c r="N49" s="381"/>
    </row>
    <row r="50" spans="1:14">
      <c r="A50" s="381"/>
      <c r="B50" s="381"/>
      <c r="C50" s="687"/>
      <c r="D50" s="381"/>
      <c r="E50" s="381"/>
      <c r="F50" s="381" t="s">
        <v>3</v>
      </c>
      <c r="G50" s="29">
        <v>891</v>
      </c>
      <c r="H50" s="252">
        <f>+G50/$G$51</f>
        <v>6.0579276584171879E-2</v>
      </c>
      <c r="I50" s="381"/>
      <c r="J50" s="381"/>
      <c r="K50" s="381"/>
      <c r="L50" s="381"/>
      <c r="M50" s="381"/>
      <c r="N50" s="381"/>
    </row>
    <row r="51" spans="1:14">
      <c r="A51" s="381"/>
      <c r="B51" s="381"/>
      <c r="C51" s="687"/>
      <c r="D51" s="381"/>
      <c r="E51" s="381"/>
      <c r="F51" s="381"/>
      <c r="G51" s="381">
        <f>SUM(G47:G50)</f>
        <v>14708</v>
      </c>
      <c r="H51" s="381"/>
      <c r="I51" s="381"/>
      <c r="J51" s="381"/>
      <c r="K51" s="381"/>
      <c r="L51" s="381"/>
      <c r="M51" s="381"/>
      <c r="N51" s="381"/>
    </row>
    <row r="53" spans="1:14" s="381" customFormat="1" ht="15.6" thickBot="1">
      <c r="A53" s="31"/>
      <c r="B53" s="31"/>
      <c r="C53" s="32"/>
      <c r="D53" s="31"/>
      <c r="E53" s="31"/>
      <c r="F53" s="31"/>
      <c r="G53" s="31"/>
      <c r="H53" s="31"/>
      <c r="I53" s="31"/>
      <c r="J53" s="31"/>
      <c r="K53" s="31"/>
      <c r="L53" s="31"/>
      <c r="M53" s="31"/>
      <c r="N53" s="562"/>
    </row>
    <row r="54" spans="1:14" s="381" customFormat="1" ht="15.6">
      <c r="A54" s="764" t="s">
        <v>330</v>
      </c>
      <c r="B54" s="765"/>
      <c r="C54" s="765"/>
      <c r="D54" s="765"/>
      <c r="E54" s="765"/>
      <c r="F54" s="765"/>
      <c r="G54" s="581"/>
      <c r="H54" s="31"/>
      <c r="I54" s="31"/>
      <c r="J54" s="31"/>
      <c r="K54" s="31"/>
      <c r="L54" s="31"/>
      <c r="M54" s="31"/>
      <c r="N54" s="562"/>
    </row>
    <row r="55" spans="1:14" s="381" customFormat="1" ht="15.6">
      <c r="A55" s="738"/>
      <c r="B55" s="739"/>
      <c r="C55" s="739"/>
      <c r="D55" s="739"/>
      <c r="E55" s="739"/>
      <c r="F55" s="739"/>
      <c r="G55" s="582"/>
      <c r="H55" s="31"/>
      <c r="I55" s="31"/>
      <c r="J55" s="31"/>
      <c r="K55" s="31"/>
      <c r="L55" s="31"/>
      <c r="M55" s="31"/>
      <c r="N55" s="562"/>
    </row>
    <row r="56" spans="1:14" s="381" customFormat="1" ht="55.5" customHeight="1">
      <c r="A56" s="740" t="s">
        <v>331</v>
      </c>
      <c r="B56" s="741"/>
      <c r="C56" s="583"/>
      <c r="D56" s="583"/>
      <c r="E56" s="583"/>
      <c r="F56" s="583"/>
      <c r="G56" s="582"/>
      <c r="H56" s="31"/>
      <c r="I56" s="31"/>
      <c r="J56" s="31"/>
      <c r="K56" s="31"/>
      <c r="L56" s="31"/>
      <c r="M56" s="31"/>
      <c r="N56" s="562"/>
    </row>
    <row r="57" spans="1:14" s="381" customFormat="1">
      <c r="A57" s="584" t="s">
        <v>361</v>
      </c>
      <c r="B57" s="585">
        <f>+E40</f>
        <v>349</v>
      </c>
      <c r="C57" s="586"/>
      <c r="D57" s="587"/>
      <c r="E57" s="587"/>
      <c r="F57" s="587"/>
      <c r="G57" s="582"/>
      <c r="H57" s="31"/>
      <c r="I57" s="31"/>
      <c r="J57" s="31"/>
      <c r="K57" s="31"/>
      <c r="L57" s="31"/>
      <c r="M57" s="31"/>
      <c r="N57" s="562"/>
    </row>
    <row r="58" spans="1:14" s="381" customFormat="1">
      <c r="A58" s="588" t="s">
        <v>362</v>
      </c>
      <c r="B58" s="589">
        <f>F40</f>
        <v>357</v>
      </c>
      <c r="C58" s="586"/>
      <c r="D58" s="587"/>
      <c r="E58" s="587"/>
      <c r="F58" s="587"/>
      <c r="G58" s="582"/>
      <c r="H58" s="31"/>
      <c r="I58" s="31"/>
      <c r="J58" s="31"/>
      <c r="K58" s="31"/>
      <c r="L58" s="31"/>
      <c r="M58" s="31"/>
      <c r="N58" s="562"/>
    </row>
    <row r="59" spans="1:14" s="381" customFormat="1">
      <c r="A59" s="590" t="s">
        <v>334</v>
      </c>
      <c r="B59" s="591">
        <f>B58-B57</f>
        <v>8</v>
      </c>
      <c r="C59" s="586"/>
      <c r="D59" s="587"/>
      <c r="E59" s="587"/>
      <c r="F59" s="587"/>
      <c r="G59" s="582"/>
      <c r="H59" s="31"/>
      <c r="I59" s="31"/>
      <c r="J59" s="31"/>
      <c r="K59" s="31"/>
      <c r="L59" s="31"/>
      <c r="M59" s="31"/>
      <c r="N59" s="562"/>
    </row>
    <row r="60" spans="1:14" s="381" customFormat="1">
      <c r="A60" s="590" t="s">
        <v>335</v>
      </c>
      <c r="B60" s="592">
        <f>B59/B57</f>
        <v>2.2922636103151862E-2</v>
      </c>
      <c r="C60" s="586"/>
      <c r="D60" s="587"/>
      <c r="E60" s="587"/>
      <c r="F60" s="587"/>
      <c r="G60" s="582"/>
      <c r="H60" s="31"/>
      <c r="I60" s="31"/>
      <c r="J60" s="31"/>
      <c r="K60" s="31"/>
      <c r="L60" s="31"/>
      <c r="M60" s="31"/>
      <c r="N60" s="562"/>
    </row>
    <row r="61" spans="1:14" s="381" customFormat="1">
      <c r="A61" s="593"/>
      <c r="B61" s="587"/>
      <c r="C61" s="686"/>
      <c r="D61" s="587"/>
      <c r="E61" s="587"/>
      <c r="F61" s="587"/>
      <c r="G61" s="582"/>
      <c r="H61" s="31"/>
      <c r="I61" s="31"/>
      <c r="J61" s="31"/>
      <c r="K61" s="31"/>
      <c r="L61" s="31"/>
      <c r="M61" s="31"/>
      <c r="N61" s="562"/>
    </row>
    <row r="62" spans="1:14" s="381" customFormat="1">
      <c r="A62" s="731" t="s">
        <v>336</v>
      </c>
      <c r="B62" s="732"/>
      <c r="C62" s="732"/>
      <c r="D62" s="732"/>
      <c r="E62" s="732"/>
      <c r="F62" s="732"/>
      <c r="G62" s="582"/>
      <c r="H62" s="31"/>
      <c r="I62" s="31"/>
      <c r="J62" s="31"/>
      <c r="K62" s="31"/>
      <c r="L62" s="31"/>
      <c r="M62" s="31"/>
      <c r="N62" s="562"/>
    </row>
    <row r="63" spans="1:14" s="381" customFormat="1" ht="94.3" customHeight="1">
      <c r="A63" s="742" t="s">
        <v>576</v>
      </c>
      <c r="B63" s="743"/>
      <c r="C63" s="743"/>
      <c r="D63" s="743"/>
      <c r="E63" s="743"/>
      <c r="F63" s="744"/>
      <c r="G63" s="582"/>
      <c r="H63" s="31"/>
      <c r="I63" s="31"/>
      <c r="J63" s="31"/>
      <c r="K63" s="31"/>
      <c r="L63" s="31"/>
      <c r="M63" s="31"/>
      <c r="N63" s="562"/>
    </row>
    <row r="64" spans="1:14" s="381" customFormat="1">
      <c r="A64" s="594"/>
      <c r="B64" s="595"/>
      <c r="C64" s="595"/>
      <c r="D64" s="595"/>
      <c r="E64" s="595"/>
      <c r="F64" s="595"/>
      <c r="G64" s="582"/>
      <c r="H64" s="31"/>
      <c r="I64" s="31"/>
      <c r="J64" s="31"/>
      <c r="K64" s="31"/>
      <c r="L64" s="31"/>
      <c r="M64" s="31"/>
      <c r="N64" s="562"/>
    </row>
    <row r="65" spans="1:14" s="381" customFormat="1">
      <c r="A65" s="596" t="s">
        <v>337</v>
      </c>
      <c r="B65" s="587"/>
      <c r="C65" s="686"/>
      <c r="D65" s="587"/>
      <c r="E65" s="587"/>
      <c r="F65" s="587"/>
      <c r="G65" s="582"/>
      <c r="H65" s="31"/>
      <c r="I65" s="31"/>
      <c r="J65" s="31"/>
      <c r="K65" s="31"/>
      <c r="L65" s="31"/>
      <c r="M65" s="31"/>
      <c r="N65" s="562"/>
    </row>
    <row r="66" spans="1:14" s="381" customFormat="1" ht="20.05" customHeight="1">
      <c r="A66" s="735" t="s">
        <v>577</v>
      </c>
      <c r="B66" s="736"/>
      <c r="C66" s="736"/>
      <c r="D66" s="736"/>
      <c r="E66" s="736"/>
      <c r="F66" s="737"/>
      <c r="G66" s="582"/>
      <c r="H66" s="31"/>
      <c r="I66" s="31"/>
      <c r="J66" s="31"/>
      <c r="K66" s="31"/>
      <c r="L66" s="31"/>
      <c r="M66" s="31"/>
      <c r="N66" s="562"/>
    </row>
    <row r="67" spans="1:14" s="381" customFormat="1">
      <c r="A67" s="593"/>
      <c r="B67" s="587"/>
      <c r="C67" s="686"/>
      <c r="D67" s="587"/>
      <c r="E67" s="587"/>
      <c r="F67" s="587"/>
      <c r="G67" s="582"/>
      <c r="H67" s="31"/>
      <c r="I67" s="31"/>
      <c r="J67" s="31"/>
      <c r="K67" s="31"/>
      <c r="L67" s="31"/>
      <c r="M67" s="31"/>
      <c r="N67" s="562"/>
    </row>
    <row r="68" spans="1:14" s="381" customFormat="1">
      <c r="A68" s="731" t="s">
        <v>365</v>
      </c>
      <c r="B68" s="732"/>
      <c r="C68" s="732"/>
      <c r="D68" s="732"/>
      <c r="E68" s="732"/>
      <c r="F68" s="732"/>
      <c r="G68" s="582"/>
      <c r="H68" s="31"/>
      <c r="I68" s="31"/>
      <c r="J68" s="31"/>
      <c r="K68" s="31"/>
      <c r="L68" s="31"/>
      <c r="M68" s="31"/>
      <c r="N68" s="562"/>
    </row>
    <row r="69" spans="1:14" s="381" customFormat="1">
      <c r="A69" s="733" t="s">
        <v>339</v>
      </c>
      <c r="B69" s="734"/>
      <c r="C69" s="734"/>
      <c r="D69" s="734"/>
      <c r="E69" s="734"/>
      <c r="F69" s="734"/>
      <c r="G69" s="582"/>
      <c r="H69" s="31"/>
      <c r="I69" s="31"/>
      <c r="J69" s="31"/>
      <c r="K69" s="31"/>
      <c r="L69" s="31"/>
      <c r="M69" s="31"/>
      <c r="N69" s="562"/>
    </row>
    <row r="70" spans="1:14" s="381" customFormat="1" ht="26.2" customHeight="1">
      <c r="A70" s="742" t="s">
        <v>578</v>
      </c>
      <c r="B70" s="743"/>
      <c r="C70" s="743"/>
      <c r="D70" s="743"/>
      <c r="E70" s="743"/>
      <c r="F70" s="744"/>
      <c r="G70" s="582"/>
      <c r="H70" s="31"/>
      <c r="I70" s="31"/>
      <c r="J70" s="31"/>
      <c r="K70" s="31"/>
      <c r="L70" s="31"/>
      <c r="M70" s="31"/>
      <c r="N70" s="562"/>
    </row>
    <row r="71" spans="1:14" s="381" customFormat="1" ht="26.2" customHeight="1">
      <c r="A71" s="596"/>
      <c r="B71" s="587"/>
      <c r="C71" s="686"/>
      <c r="D71" s="587"/>
      <c r="E71" s="587"/>
      <c r="F71" s="587"/>
      <c r="G71" s="582"/>
      <c r="H71" s="31"/>
      <c r="I71" s="31"/>
      <c r="J71" s="31"/>
      <c r="K71" s="31"/>
      <c r="L71" s="31"/>
      <c r="M71" s="31"/>
      <c r="N71" s="562"/>
    </row>
    <row r="72" spans="1:14" s="381" customFormat="1">
      <c r="A72" s="731" t="s">
        <v>340</v>
      </c>
      <c r="B72" s="732"/>
      <c r="C72" s="732"/>
      <c r="D72" s="732"/>
      <c r="E72" s="732"/>
      <c r="F72" s="587"/>
      <c r="G72" s="582"/>
      <c r="H72" s="31"/>
      <c r="I72" s="31"/>
      <c r="J72" s="31"/>
      <c r="K72" s="31"/>
      <c r="L72" s="31"/>
      <c r="M72" s="31"/>
      <c r="N72" s="562"/>
    </row>
    <row r="73" spans="1:14" s="381" customFormat="1" ht="31.95" customHeight="1">
      <c r="A73" s="766" t="s">
        <v>579</v>
      </c>
      <c r="B73" s="767"/>
      <c r="C73" s="767"/>
      <c r="D73" s="767"/>
      <c r="E73" s="767"/>
      <c r="F73" s="768"/>
      <c r="G73" s="582"/>
      <c r="H73" s="31"/>
      <c r="I73" s="31"/>
      <c r="J73" s="31"/>
      <c r="K73" s="31"/>
      <c r="L73" s="31"/>
      <c r="M73" s="31"/>
      <c r="N73" s="562"/>
    </row>
    <row r="74" spans="1:14" s="381" customFormat="1">
      <c r="A74" s="593"/>
      <c r="B74" s="587"/>
      <c r="C74" s="686"/>
      <c r="D74" s="587"/>
      <c r="E74" s="587"/>
      <c r="F74" s="587"/>
      <c r="G74" s="582"/>
      <c r="H74" s="31"/>
      <c r="I74" s="31"/>
      <c r="J74" s="31"/>
      <c r="K74" s="31"/>
      <c r="L74" s="31"/>
      <c r="M74" s="31"/>
      <c r="N74" s="562"/>
    </row>
    <row r="75" spans="1:14" s="381" customFormat="1">
      <c r="A75" s="596" t="s">
        <v>341</v>
      </c>
      <c r="B75" s="587"/>
      <c r="C75" s="686"/>
      <c r="D75" s="587"/>
      <c r="E75" s="587"/>
      <c r="F75" s="587"/>
      <c r="G75" s="582"/>
      <c r="H75" s="31"/>
      <c r="I75" s="31"/>
      <c r="J75" s="31"/>
      <c r="K75" s="31"/>
      <c r="L75" s="31"/>
      <c r="M75" s="31"/>
      <c r="N75" s="562"/>
    </row>
    <row r="76" spans="1:14" s="381" customFormat="1">
      <c r="A76" s="597" t="s">
        <v>342</v>
      </c>
      <c r="B76" s="587"/>
      <c r="C76" s="686"/>
      <c r="D76" s="587"/>
      <c r="E76" s="587"/>
      <c r="F76" s="587"/>
      <c r="G76" s="582"/>
      <c r="H76" s="31"/>
      <c r="I76" s="31"/>
      <c r="J76" s="31"/>
      <c r="K76" s="31"/>
      <c r="L76" s="31"/>
      <c r="M76" s="31"/>
      <c r="N76" s="562"/>
    </row>
    <row r="77" spans="1:14" s="381" customFormat="1" ht="34.549999999999997" customHeight="1">
      <c r="A77" s="719" t="s">
        <v>368</v>
      </c>
      <c r="B77" s="720"/>
      <c r="C77" s="720"/>
      <c r="D77" s="720"/>
      <c r="E77" s="720"/>
      <c r="F77" s="720"/>
      <c r="G77" s="582"/>
      <c r="H77" s="31"/>
      <c r="I77" s="31"/>
      <c r="J77" s="31"/>
      <c r="K77" s="31"/>
      <c r="L77" s="31"/>
      <c r="M77" s="31"/>
      <c r="N77" s="562"/>
    </row>
    <row r="78" spans="1:14" s="381" customFormat="1" ht="95.2" customHeight="1">
      <c r="A78" s="773" t="s">
        <v>580</v>
      </c>
      <c r="B78" s="743"/>
      <c r="C78" s="743"/>
      <c r="D78" s="743"/>
      <c r="E78" s="743"/>
      <c r="F78" s="744"/>
      <c r="G78" s="582"/>
      <c r="H78" s="31"/>
      <c r="I78" s="31"/>
      <c r="J78" s="31"/>
      <c r="K78" s="31"/>
      <c r="L78" s="31"/>
      <c r="M78" s="31"/>
      <c r="N78" s="562"/>
    </row>
    <row r="79" spans="1:14" s="381" customFormat="1">
      <c r="A79" s="724"/>
      <c r="B79" s="725"/>
      <c r="C79" s="725"/>
      <c r="D79" s="725"/>
      <c r="E79" s="725"/>
      <c r="F79" s="725"/>
      <c r="G79" s="582"/>
      <c r="H79" s="31"/>
      <c r="I79" s="31"/>
      <c r="J79" s="31"/>
      <c r="K79" s="31"/>
      <c r="L79" s="31"/>
      <c r="M79" s="31"/>
      <c r="N79" s="562"/>
    </row>
    <row r="80" spans="1:14" s="381" customFormat="1">
      <c r="A80" s="597" t="s">
        <v>344</v>
      </c>
      <c r="B80" s="587"/>
      <c r="C80" s="686"/>
      <c r="D80" s="587"/>
      <c r="E80" s="587"/>
      <c r="F80" s="587"/>
      <c r="G80" s="582"/>
      <c r="H80" s="31"/>
      <c r="I80" s="31"/>
      <c r="J80" s="31"/>
      <c r="K80" s="31"/>
      <c r="L80" s="31"/>
      <c r="M80" s="31"/>
      <c r="N80" s="562"/>
    </row>
    <row r="81" spans="1:14" s="381" customFormat="1" ht="29.7" customHeight="1">
      <c r="A81" s="726" t="s">
        <v>345</v>
      </c>
      <c r="B81" s="727"/>
      <c r="C81" s="727"/>
      <c r="D81" s="727"/>
      <c r="E81" s="727"/>
      <c r="F81" s="727"/>
      <c r="G81" s="582"/>
      <c r="H81" s="31"/>
      <c r="I81" s="31"/>
      <c r="J81" s="31"/>
      <c r="K81" s="31"/>
      <c r="L81" s="31"/>
      <c r="M81" s="31"/>
      <c r="N81" s="562"/>
    </row>
    <row r="82" spans="1:14" s="381" customFormat="1">
      <c r="A82" s="728"/>
      <c r="B82" s="729"/>
      <c r="C82" s="729"/>
      <c r="D82" s="729"/>
      <c r="E82" s="729"/>
      <c r="F82" s="730"/>
      <c r="G82" s="582"/>
      <c r="H82" s="31"/>
      <c r="I82" s="31"/>
      <c r="J82" s="31"/>
      <c r="K82" s="31"/>
      <c r="L82" s="31"/>
      <c r="M82" s="31"/>
      <c r="N82" s="562"/>
    </row>
    <row r="83" spans="1:14" s="381" customFormat="1" ht="15.6" thickBot="1">
      <c r="A83" s="598"/>
      <c r="B83" s="599"/>
      <c r="C83" s="600"/>
      <c r="D83" s="599"/>
      <c r="E83" s="599"/>
      <c r="F83" s="599"/>
      <c r="G83" s="601"/>
      <c r="H83" s="31"/>
      <c r="I83" s="31"/>
      <c r="J83" s="31"/>
      <c r="K83" s="31"/>
      <c r="L83" s="31"/>
      <c r="M83" s="31"/>
      <c r="N83" s="562"/>
    </row>
    <row r="84" spans="1:14" s="381" customFormat="1">
      <c r="A84" s="31"/>
      <c r="B84" s="31"/>
      <c r="C84" s="32"/>
      <c r="D84" s="31"/>
      <c r="E84" s="31"/>
      <c r="F84" s="31"/>
      <c r="G84" s="31"/>
      <c r="H84" s="31"/>
      <c r="I84" s="31"/>
      <c r="J84" s="31"/>
      <c r="K84" s="31"/>
      <c r="L84" s="31"/>
      <c r="M84" s="31"/>
      <c r="N84" s="562"/>
    </row>
  </sheetData>
  <mergeCells count="21">
    <mergeCell ref="A44:D44"/>
    <mergeCell ref="A45:D45"/>
    <mergeCell ref="A1:N1"/>
    <mergeCell ref="A42:E42"/>
    <mergeCell ref="A43:D43"/>
    <mergeCell ref="A54:F54"/>
    <mergeCell ref="A55:F55"/>
    <mergeCell ref="A56:B56"/>
    <mergeCell ref="A62:F62"/>
    <mergeCell ref="A63:F63"/>
    <mergeCell ref="A66:F66"/>
    <mergeCell ref="A68:F68"/>
    <mergeCell ref="A69:F69"/>
    <mergeCell ref="A70:F70"/>
    <mergeCell ref="A72:E72"/>
    <mergeCell ref="A82:F82"/>
    <mergeCell ref="A73:F73"/>
    <mergeCell ref="A77:F77"/>
    <mergeCell ref="A78:F78"/>
    <mergeCell ref="A79:F79"/>
    <mergeCell ref="A81:F81"/>
  </mergeCells>
  <printOptions horizontalCentered="1"/>
  <pageMargins left="0.2" right="0.2" top="0.75" bottom="0.75" header="0.3" footer="0.3"/>
  <pageSetup scale="67" fitToHeight="0" orientation="landscape" r:id="rId1"/>
  <headerFooter>
    <oddHeader xml:space="preserve">&amp;CDRAFT NOT FOR DISTRIBUTION, INTERNAL USE ONLY
</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pageSetUpPr fitToPage="1"/>
  </sheetPr>
  <dimension ref="A1:N101"/>
  <sheetViews>
    <sheetView zoomScaleNormal="100" workbookViewId="0">
      <selection sqref="A1:N1"/>
    </sheetView>
  </sheetViews>
  <sheetFormatPr defaultRowHeight="14.85"/>
  <cols>
    <col min="1" max="1" width="48.28515625" customWidth="1"/>
    <col min="2" max="2" width="16" customWidth="1"/>
    <col min="3" max="3" width="7.7109375" style="30" customWidth="1"/>
    <col min="4" max="4" width="15.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25.140625" customWidth="1"/>
  </cols>
  <sheetData>
    <row r="1" spans="1:14" ht="15.6">
      <c r="A1" s="745" t="s">
        <v>536</v>
      </c>
      <c r="B1" s="745"/>
      <c r="C1" s="745"/>
      <c r="D1" s="745"/>
      <c r="E1" s="745"/>
      <c r="F1" s="745"/>
      <c r="G1" s="745"/>
      <c r="H1" s="745"/>
      <c r="I1" s="745"/>
      <c r="J1" s="745"/>
      <c r="K1" s="745"/>
      <c r="L1" s="745"/>
      <c r="M1" s="745"/>
      <c r="N1" s="745"/>
    </row>
    <row r="2" spans="1:14">
      <c r="A2" s="65" t="s">
        <v>581</v>
      </c>
      <c r="B2" s="381"/>
      <c r="C2" s="687"/>
      <c r="D2" s="381"/>
      <c r="E2" s="381"/>
      <c r="F2" s="381"/>
      <c r="G2" s="381"/>
      <c r="H2" s="381"/>
      <c r="I2" s="381"/>
      <c r="J2" s="381"/>
      <c r="K2" s="381"/>
      <c r="L2" s="381"/>
      <c r="M2" s="381"/>
      <c r="N2" s="381"/>
    </row>
    <row r="3" spans="1:14">
      <c r="A3" s="65" t="s">
        <v>582</v>
      </c>
      <c r="B3" s="381"/>
      <c r="C3" s="687"/>
      <c r="D3" s="381"/>
      <c r="E3" s="554" t="s">
        <v>275</v>
      </c>
      <c r="F3" s="381"/>
      <c r="G3" s="381"/>
      <c r="H3" s="381"/>
      <c r="I3" s="381"/>
      <c r="J3" s="381"/>
      <c r="K3" s="381"/>
      <c r="L3" s="381"/>
      <c r="M3" s="381"/>
      <c r="N3" s="381"/>
    </row>
    <row r="4" spans="1:14">
      <c r="A4" s="65" t="s">
        <v>583</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s="381" customFormat="1" ht="26">
      <c r="A7" s="382" t="s">
        <v>584</v>
      </c>
      <c r="B7" s="382" t="s">
        <v>585</v>
      </c>
      <c r="C7" s="37" t="s">
        <v>287</v>
      </c>
      <c r="D7" s="38">
        <v>1</v>
      </c>
      <c r="E7" s="263">
        <v>130</v>
      </c>
      <c r="F7" s="309">
        <f>SUM(G7:M7)</f>
        <v>130</v>
      </c>
      <c r="G7" s="310">
        <v>0</v>
      </c>
      <c r="H7" s="310">
        <v>130</v>
      </c>
      <c r="I7" s="310">
        <v>0</v>
      </c>
      <c r="J7" s="310">
        <v>0</v>
      </c>
      <c r="K7" s="310">
        <v>0</v>
      </c>
      <c r="L7" s="310">
        <v>0</v>
      </c>
      <c r="M7" s="311">
        <v>0</v>
      </c>
      <c r="N7" s="355"/>
    </row>
    <row r="8" spans="1:14" s="381" customFormat="1" ht="26">
      <c r="A8" s="382" t="s">
        <v>586</v>
      </c>
      <c r="B8" s="382" t="s">
        <v>587</v>
      </c>
      <c r="C8" s="37" t="s">
        <v>287</v>
      </c>
      <c r="D8" s="39">
        <v>0.75</v>
      </c>
      <c r="E8" s="263">
        <v>96</v>
      </c>
      <c r="F8" s="309">
        <f t="shared" ref="F8:F17" si="0">SUM(G8:M8)</f>
        <v>96</v>
      </c>
      <c r="G8" s="310">
        <v>0</v>
      </c>
      <c r="H8" s="310">
        <v>96</v>
      </c>
      <c r="I8" s="310">
        <v>0</v>
      </c>
      <c r="J8" s="310">
        <v>0</v>
      </c>
      <c r="K8" s="310">
        <v>0</v>
      </c>
      <c r="L8" s="310">
        <v>0</v>
      </c>
      <c r="M8" s="311">
        <v>0</v>
      </c>
      <c r="N8" s="355" t="s">
        <v>588</v>
      </c>
    </row>
    <row r="9" spans="1:14" s="381" customFormat="1" ht="26">
      <c r="A9" s="382" t="s">
        <v>589</v>
      </c>
      <c r="B9" s="73" t="s">
        <v>590</v>
      </c>
      <c r="C9" s="37" t="s">
        <v>287</v>
      </c>
      <c r="D9" s="39">
        <v>1</v>
      </c>
      <c r="E9" s="263">
        <v>82</v>
      </c>
      <c r="F9" s="309">
        <f t="shared" si="0"/>
        <v>84</v>
      </c>
      <c r="G9" s="310"/>
      <c r="H9" s="310">
        <v>84</v>
      </c>
      <c r="I9" s="310"/>
      <c r="J9" s="310"/>
      <c r="K9" s="310"/>
      <c r="L9" s="310"/>
      <c r="M9" s="311"/>
      <c r="N9" s="325"/>
    </row>
    <row r="10" spans="1:14" s="381" customFormat="1">
      <c r="A10" s="382" t="s">
        <v>591</v>
      </c>
      <c r="B10" s="264" t="s">
        <v>590</v>
      </c>
      <c r="C10" s="37" t="s">
        <v>287</v>
      </c>
      <c r="D10" s="39">
        <v>1</v>
      </c>
      <c r="E10" s="263">
        <v>84</v>
      </c>
      <c r="F10" s="309">
        <f t="shared" si="0"/>
        <v>84</v>
      </c>
      <c r="G10" s="310"/>
      <c r="H10" s="310">
        <v>84</v>
      </c>
      <c r="I10" s="310"/>
      <c r="J10" s="310"/>
      <c r="K10" s="310"/>
      <c r="L10" s="310"/>
      <c r="M10" s="311"/>
      <c r="N10" s="325"/>
    </row>
    <row r="11" spans="1:14" s="381" customFormat="1" ht="28.8" customHeight="1">
      <c r="A11" s="382" t="s">
        <v>592</v>
      </c>
      <c r="B11" s="73" t="s">
        <v>593</v>
      </c>
      <c r="C11" s="37" t="s">
        <v>287</v>
      </c>
      <c r="D11" s="39">
        <v>0.5</v>
      </c>
      <c r="E11" s="263">
        <v>46</v>
      </c>
      <c r="F11" s="309">
        <f t="shared" si="0"/>
        <v>47</v>
      </c>
      <c r="G11" s="310">
        <v>0</v>
      </c>
      <c r="H11" s="310">
        <v>47</v>
      </c>
      <c r="I11" s="310">
        <v>0</v>
      </c>
      <c r="J11" s="310">
        <v>0</v>
      </c>
      <c r="K11" s="310">
        <v>0</v>
      </c>
      <c r="L11" s="310">
        <v>0</v>
      </c>
      <c r="M11" s="311">
        <v>0</v>
      </c>
      <c r="N11" s="355"/>
    </row>
    <row r="12" spans="1:14" s="381" customFormat="1" ht="26">
      <c r="A12" s="382" t="s">
        <v>594</v>
      </c>
      <c r="B12" s="73" t="s">
        <v>590</v>
      </c>
      <c r="C12" s="37" t="s">
        <v>287</v>
      </c>
      <c r="D12" s="39">
        <v>0.4</v>
      </c>
      <c r="E12" s="263">
        <v>43</v>
      </c>
      <c r="F12" s="309">
        <f t="shared" si="0"/>
        <v>43</v>
      </c>
      <c r="G12" s="310"/>
      <c r="H12" s="310">
        <v>43</v>
      </c>
      <c r="I12" s="310"/>
      <c r="J12" s="310"/>
      <c r="K12" s="310"/>
      <c r="L12" s="310"/>
      <c r="M12" s="311"/>
      <c r="N12" s="325"/>
    </row>
    <row r="13" spans="1:14" s="381" customFormat="1">
      <c r="A13" s="382" t="s">
        <v>595</v>
      </c>
      <c r="B13" s="382" t="s">
        <v>596</v>
      </c>
      <c r="C13" s="37" t="s">
        <v>287</v>
      </c>
      <c r="D13" s="39">
        <v>1</v>
      </c>
      <c r="E13" s="263">
        <v>64</v>
      </c>
      <c r="F13" s="309">
        <f t="shared" si="0"/>
        <v>65</v>
      </c>
      <c r="G13" s="310">
        <v>0</v>
      </c>
      <c r="H13" s="310">
        <v>65</v>
      </c>
      <c r="I13" s="310">
        <v>0</v>
      </c>
      <c r="J13" s="310">
        <v>0</v>
      </c>
      <c r="K13" s="310">
        <v>0</v>
      </c>
      <c r="L13" s="310">
        <v>0</v>
      </c>
      <c r="M13" s="311">
        <v>0</v>
      </c>
      <c r="N13" s="355"/>
    </row>
    <row r="14" spans="1:14" s="381" customFormat="1">
      <c r="A14" s="382" t="s">
        <v>597</v>
      </c>
      <c r="B14" s="36" t="s">
        <v>598</v>
      </c>
      <c r="C14" s="37" t="s">
        <v>287</v>
      </c>
      <c r="D14" s="39">
        <v>1</v>
      </c>
      <c r="E14" s="263">
        <v>69</v>
      </c>
      <c r="F14" s="309">
        <f t="shared" si="0"/>
        <v>69</v>
      </c>
      <c r="G14" s="310"/>
      <c r="H14" s="310">
        <v>69</v>
      </c>
      <c r="I14" s="310"/>
      <c r="J14" s="310"/>
      <c r="K14" s="310"/>
      <c r="L14" s="310"/>
      <c r="M14" s="311"/>
      <c r="N14" s="325"/>
    </row>
    <row r="15" spans="1:14" s="381" customFormat="1">
      <c r="A15" s="382" t="s">
        <v>599</v>
      </c>
      <c r="B15" s="36" t="s">
        <v>600</v>
      </c>
      <c r="C15" s="37" t="s">
        <v>287</v>
      </c>
      <c r="D15" s="39">
        <v>1</v>
      </c>
      <c r="E15" s="263"/>
      <c r="F15" s="309">
        <f t="shared" si="0"/>
        <v>70</v>
      </c>
      <c r="G15" s="310"/>
      <c r="H15" s="310">
        <v>70</v>
      </c>
      <c r="I15" s="310"/>
      <c r="J15" s="310"/>
      <c r="K15" s="310"/>
      <c r="L15" s="310"/>
      <c r="M15" s="311"/>
      <c r="N15" s="325"/>
    </row>
    <row r="16" spans="1:14" s="381" customFormat="1">
      <c r="A16" s="382" t="s">
        <v>601</v>
      </c>
      <c r="B16" s="36" t="s">
        <v>602</v>
      </c>
      <c r="C16" s="37" t="s">
        <v>287</v>
      </c>
      <c r="D16" s="39">
        <v>1</v>
      </c>
      <c r="E16" s="263"/>
      <c r="F16" s="309">
        <f t="shared" si="0"/>
        <v>50</v>
      </c>
      <c r="G16" s="310"/>
      <c r="H16" s="310">
        <v>50</v>
      </c>
      <c r="I16" s="310"/>
      <c r="J16" s="310"/>
      <c r="K16" s="310"/>
      <c r="L16" s="310"/>
      <c r="M16" s="311"/>
      <c r="N16" s="325" t="s">
        <v>603</v>
      </c>
    </row>
    <row r="17" spans="1:14" s="381" customFormat="1" ht="15.05" customHeight="1">
      <c r="A17" s="382" t="s">
        <v>604</v>
      </c>
      <c r="B17" s="73"/>
      <c r="C17" s="37" t="s">
        <v>287</v>
      </c>
      <c r="D17" s="39">
        <v>0</v>
      </c>
      <c r="E17" s="263">
        <v>4</v>
      </c>
      <c r="F17" s="309">
        <f t="shared" si="0"/>
        <v>4</v>
      </c>
      <c r="G17" s="310">
        <v>0</v>
      </c>
      <c r="H17" s="310">
        <v>4</v>
      </c>
      <c r="I17" s="310">
        <v>0</v>
      </c>
      <c r="J17" s="310">
        <v>0</v>
      </c>
      <c r="K17" s="310">
        <v>0</v>
      </c>
      <c r="L17" s="310">
        <v>0</v>
      </c>
      <c r="M17" s="311">
        <v>0</v>
      </c>
      <c r="N17" s="355"/>
    </row>
    <row r="18" spans="1:14">
      <c r="A18" s="36" t="s">
        <v>286</v>
      </c>
      <c r="B18" s="265"/>
      <c r="C18" s="37" t="s">
        <v>287</v>
      </c>
      <c r="D18" s="39"/>
      <c r="E18" s="263">
        <v>0</v>
      </c>
      <c r="F18" s="309">
        <f>SUM(G18:M18)</f>
        <v>0</v>
      </c>
      <c r="G18" s="310">
        <v>0</v>
      </c>
      <c r="H18" s="310">
        <v>0</v>
      </c>
      <c r="I18" s="310">
        <v>0</v>
      </c>
      <c r="J18" s="310">
        <v>0</v>
      </c>
      <c r="K18" s="310">
        <v>0</v>
      </c>
      <c r="L18" s="310">
        <v>0</v>
      </c>
      <c r="M18" s="311">
        <v>0</v>
      </c>
      <c r="N18" s="355"/>
    </row>
    <row r="19" spans="1:14">
      <c r="A19" s="40" t="s">
        <v>288</v>
      </c>
      <c r="B19" s="265"/>
      <c r="C19" s="266"/>
      <c r="D19" s="41">
        <f t="shared" ref="D19:M19" si="1">SUM(D7:D18)</f>
        <v>8.65</v>
      </c>
      <c r="E19" s="42">
        <f t="shared" si="1"/>
        <v>618</v>
      </c>
      <c r="F19" s="43">
        <f t="shared" si="1"/>
        <v>742</v>
      </c>
      <c r="G19" s="43">
        <f t="shared" si="1"/>
        <v>0</v>
      </c>
      <c r="H19" s="43">
        <f t="shared" si="1"/>
        <v>742</v>
      </c>
      <c r="I19" s="43">
        <f t="shared" si="1"/>
        <v>0</v>
      </c>
      <c r="J19" s="43">
        <f t="shared" si="1"/>
        <v>0</v>
      </c>
      <c r="K19" s="43">
        <f t="shared" si="1"/>
        <v>0</v>
      </c>
      <c r="L19" s="43">
        <f t="shared" si="1"/>
        <v>0</v>
      </c>
      <c r="M19" s="43">
        <f t="shared" si="1"/>
        <v>0</v>
      </c>
      <c r="N19" s="254"/>
    </row>
    <row r="20" spans="1:14">
      <c r="A20" s="69" t="s">
        <v>289</v>
      </c>
      <c r="B20" s="70"/>
      <c r="C20" s="71"/>
      <c r="D20" s="70"/>
      <c r="E20" s="70"/>
      <c r="F20" s="72"/>
      <c r="G20" s="72"/>
      <c r="H20" s="72"/>
      <c r="I20" s="72"/>
      <c r="J20" s="72"/>
      <c r="K20" s="72"/>
      <c r="L20" s="72"/>
      <c r="M20" s="72"/>
      <c r="N20" s="72"/>
    </row>
    <row r="21" spans="1:14">
      <c r="A21" s="264" t="s">
        <v>355</v>
      </c>
      <c r="B21" s="264"/>
      <c r="C21" s="44">
        <v>253</v>
      </c>
      <c r="D21" s="45"/>
      <c r="E21" s="263">
        <v>0</v>
      </c>
      <c r="F21" s="357">
        <f>SUM(G21:M21)</f>
        <v>0</v>
      </c>
      <c r="G21" s="310">
        <v>0</v>
      </c>
      <c r="H21" s="310">
        <v>0</v>
      </c>
      <c r="I21" s="310">
        <v>0</v>
      </c>
      <c r="J21" s="310">
        <v>0</v>
      </c>
      <c r="K21" s="310">
        <v>0</v>
      </c>
      <c r="L21" s="310">
        <v>0</v>
      </c>
      <c r="M21" s="311">
        <v>0</v>
      </c>
      <c r="N21" s="327"/>
    </row>
    <row r="22" spans="1:14">
      <c r="A22" s="264" t="s">
        <v>355</v>
      </c>
      <c r="B22" s="264"/>
      <c r="C22" s="44">
        <v>253</v>
      </c>
      <c r="D22" s="45"/>
      <c r="E22" s="263">
        <v>0</v>
      </c>
      <c r="F22" s="357">
        <f>SUM(G22:M22)</f>
        <v>0</v>
      </c>
      <c r="G22" s="310">
        <v>0</v>
      </c>
      <c r="H22" s="310">
        <v>0</v>
      </c>
      <c r="I22" s="310">
        <v>0</v>
      </c>
      <c r="J22" s="310">
        <v>0</v>
      </c>
      <c r="K22" s="310">
        <v>0</v>
      </c>
      <c r="L22" s="310">
        <v>0</v>
      </c>
      <c r="M22" s="311">
        <v>0</v>
      </c>
      <c r="N22" s="326"/>
    </row>
    <row r="23" spans="1:14">
      <c r="A23" s="264" t="s">
        <v>355</v>
      </c>
      <c r="B23" s="264"/>
      <c r="C23" s="44">
        <v>253</v>
      </c>
      <c r="D23" s="267"/>
      <c r="E23" s="263">
        <v>0</v>
      </c>
      <c r="F23" s="357">
        <f>SUM(G23:M23)</f>
        <v>0</v>
      </c>
      <c r="G23" s="310">
        <v>0</v>
      </c>
      <c r="H23" s="310">
        <v>0</v>
      </c>
      <c r="I23" s="310">
        <v>0</v>
      </c>
      <c r="J23" s="310">
        <v>0</v>
      </c>
      <c r="K23" s="310">
        <v>0</v>
      </c>
      <c r="L23" s="310">
        <v>0</v>
      </c>
      <c r="M23" s="311">
        <v>0</v>
      </c>
      <c r="N23" s="355"/>
    </row>
    <row r="24" spans="1:14" s="7" customFormat="1">
      <c r="A24" s="264" t="s">
        <v>355</v>
      </c>
      <c r="B24" s="264"/>
      <c r="C24" s="44">
        <v>253</v>
      </c>
      <c r="D24" s="267"/>
      <c r="E24" s="263">
        <v>0</v>
      </c>
      <c r="F24" s="357">
        <f>SUM(G24:M24)</f>
        <v>0</v>
      </c>
      <c r="G24" s="310">
        <v>0</v>
      </c>
      <c r="H24" s="310">
        <v>0</v>
      </c>
      <c r="I24" s="310">
        <v>0</v>
      </c>
      <c r="J24" s="310">
        <v>0</v>
      </c>
      <c r="K24" s="310">
        <v>0</v>
      </c>
      <c r="L24" s="310">
        <v>0</v>
      </c>
      <c r="M24" s="311">
        <v>0</v>
      </c>
      <c r="N24" s="326"/>
    </row>
    <row r="25" spans="1:14">
      <c r="A25" s="40" t="s">
        <v>294</v>
      </c>
      <c r="B25" s="265"/>
      <c r="C25" s="266"/>
      <c r="D25" s="267">
        <f>SUM(D21:D24)</f>
        <v>0</v>
      </c>
      <c r="E25" s="42">
        <f>SUM(E21:E24)</f>
        <v>0</v>
      </c>
      <c r="F25" s="43">
        <f>SUM(F21:F24)</f>
        <v>0</v>
      </c>
      <c r="G25" s="43">
        <f t="shared" ref="G25:M25" si="2">SUM(G21:G24)</f>
        <v>0</v>
      </c>
      <c r="H25" s="43">
        <f t="shared" si="2"/>
        <v>0</v>
      </c>
      <c r="I25" s="43">
        <f t="shared" si="2"/>
        <v>0</v>
      </c>
      <c r="J25" s="43">
        <f t="shared" si="2"/>
        <v>0</v>
      </c>
      <c r="K25" s="43">
        <f t="shared" si="2"/>
        <v>0</v>
      </c>
      <c r="L25" s="43">
        <f t="shared" si="2"/>
        <v>0</v>
      </c>
      <c r="M25" s="43">
        <f t="shared" si="2"/>
        <v>0</v>
      </c>
      <c r="N25" s="355"/>
    </row>
    <row r="26" spans="1:14" s="7" customFormat="1">
      <c r="A26" s="127" t="s">
        <v>295</v>
      </c>
      <c r="B26" s="128"/>
      <c r="C26" s="128"/>
      <c r="D26" s="128"/>
      <c r="E26" s="89"/>
      <c r="F26" s="89"/>
      <c r="G26" s="89"/>
      <c r="H26" s="89"/>
      <c r="I26" s="89"/>
      <c r="J26" s="89"/>
      <c r="K26" s="89"/>
      <c r="L26" s="89"/>
      <c r="M26" s="89"/>
      <c r="N26" s="130"/>
    </row>
    <row r="27" spans="1:14">
      <c r="A27" s="264" t="s">
        <v>296</v>
      </c>
      <c r="B27" s="36" t="s">
        <v>605</v>
      </c>
      <c r="C27" s="37" t="s">
        <v>297</v>
      </c>
      <c r="D27" s="38">
        <v>0</v>
      </c>
      <c r="E27" s="263">
        <v>10</v>
      </c>
      <c r="F27" s="309">
        <f t="shared" ref="F27:F39" si="3">SUM(G27:M27)</f>
        <v>10</v>
      </c>
      <c r="G27" s="310">
        <v>0</v>
      </c>
      <c r="H27" s="310">
        <v>10</v>
      </c>
      <c r="I27" s="310">
        <v>0</v>
      </c>
      <c r="J27" s="310">
        <v>0</v>
      </c>
      <c r="K27" s="310">
        <v>0</v>
      </c>
      <c r="L27" s="310">
        <v>0</v>
      </c>
      <c r="M27" s="311">
        <v>0</v>
      </c>
      <c r="N27" s="159" t="s">
        <v>606</v>
      </c>
    </row>
    <row r="28" spans="1:14">
      <c r="A28" s="264" t="s">
        <v>298</v>
      </c>
      <c r="B28" s="36"/>
      <c r="C28" s="44" t="s">
        <v>299</v>
      </c>
      <c r="D28" s="45"/>
      <c r="E28" s="263">
        <v>0</v>
      </c>
      <c r="F28" s="309">
        <f t="shared" si="3"/>
        <v>0</v>
      </c>
      <c r="G28" s="310">
        <v>0</v>
      </c>
      <c r="H28" s="310"/>
      <c r="I28" s="310">
        <v>0</v>
      </c>
      <c r="J28" s="310">
        <v>0</v>
      </c>
      <c r="K28" s="310">
        <v>0</v>
      </c>
      <c r="L28" s="310">
        <v>0</v>
      </c>
      <c r="M28" s="311">
        <v>0</v>
      </c>
      <c r="N28" s="355"/>
    </row>
    <row r="29" spans="1:14">
      <c r="A29" s="264" t="s">
        <v>300</v>
      </c>
      <c r="B29" s="36"/>
      <c r="C29" s="44" t="s">
        <v>301</v>
      </c>
      <c r="D29" s="45"/>
      <c r="E29" s="263">
        <v>0</v>
      </c>
      <c r="F29" s="309">
        <f t="shared" si="3"/>
        <v>0</v>
      </c>
      <c r="G29" s="310">
        <v>0</v>
      </c>
      <c r="H29" s="310">
        <v>0</v>
      </c>
      <c r="I29" s="310">
        <v>0</v>
      </c>
      <c r="J29" s="310">
        <v>0</v>
      </c>
      <c r="K29" s="310">
        <v>0</v>
      </c>
      <c r="L29" s="310">
        <v>0</v>
      </c>
      <c r="M29" s="311">
        <v>0</v>
      </c>
      <c r="N29" s="355"/>
    </row>
    <row r="30" spans="1:14">
      <c r="A30" s="264" t="s">
        <v>302</v>
      </c>
      <c r="B30" s="36"/>
      <c r="C30" s="44" t="s">
        <v>303</v>
      </c>
      <c r="D30" s="45"/>
      <c r="E30" s="263">
        <v>0</v>
      </c>
      <c r="F30" s="309">
        <f t="shared" si="3"/>
        <v>0</v>
      </c>
      <c r="G30" s="310">
        <v>0</v>
      </c>
      <c r="H30" s="310"/>
      <c r="I30" s="310">
        <v>0</v>
      </c>
      <c r="J30" s="310">
        <v>0</v>
      </c>
      <c r="K30" s="310">
        <v>0</v>
      </c>
      <c r="L30" s="310">
        <v>0</v>
      </c>
      <c r="M30" s="311">
        <v>0</v>
      </c>
      <c r="N30" s="355"/>
    </row>
    <row r="31" spans="1:14">
      <c r="A31" s="264" t="s">
        <v>304</v>
      </c>
      <c r="B31" s="36"/>
      <c r="C31" s="44">
        <v>251</v>
      </c>
      <c r="D31" s="45"/>
      <c r="E31" s="263">
        <v>0</v>
      </c>
      <c r="F31" s="309">
        <f t="shared" si="3"/>
        <v>0</v>
      </c>
      <c r="G31" s="310">
        <v>0</v>
      </c>
      <c r="H31" s="310">
        <v>0</v>
      </c>
      <c r="I31" s="310">
        <v>0</v>
      </c>
      <c r="J31" s="310">
        <v>0</v>
      </c>
      <c r="K31" s="310">
        <v>0</v>
      </c>
      <c r="L31" s="310">
        <v>0</v>
      </c>
      <c r="M31" s="311">
        <v>0</v>
      </c>
      <c r="N31" s="355"/>
    </row>
    <row r="32" spans="1:14">
      <c r="A32" s="264" t="s">
        <v>607</v>
      </c>
      <c r="B32" s="36"/>
      <c r="C32" s="44">
        <v>252</v>
      </c>
      <c r="D32" s="45"/>
      <c r="E32" s="263">
        <v>100</v>
      </c>
      <c r="F32" s="309">
        <f t="shared" si="3"/>
        <v>18</v>
      </c>
      <c r="G32" s="310">
        <v>0</v>
      </c>
      <c r="H32" s="310">
        <v>18</v>
      </c>
      <c r="I32" s="310">
        <v>0</v>
      </c>
      <c r="J32" s="310">
        <v>0</v>
      </c>
      <c r="K32" s="310">
        <v>0</v>
      </c>
      <c r="L32" s="310">
        <v>0</v>
      </c>
      <c r="M32" s="311">
        <v>0</v>
      </c>
      <c r="N32" s="355"/>
    </row>
    <row r="33" spans="1:14">
      <c r="A33" s="264" t="s">
        <v>314</v>
      </c>
      <c r="B33" s="36" t="s">
        <v>605</v>
      </c>
      <c r="C33" s="44">
        <v>252</v>
      </c>
      <c r="D33" s="45"/>
      <c r="E33" s="263">
        <v>26</v>
      </c>
      <c r="F33" s="309">
        <f t="shared" si="3"/>
        <v>26</v>
      </c>
      <c r="G33" s="310">
        <v>0</v>
      </c>
      <c r="H33" s="310">
        <v>26</v>
      </c>
      <c r="I33" s="310">
        <v>0</v>
      </c>
      <c r="J33" s="310">
        <v>0</v>
      </c>
      <c r="K33" s="310">
        <v>0</v>
      </c>
      <c r="L33" s="310">
        <v>0</v>
      </c>
      <c r="M33" s="311">
        <v>0</v>
      </c>
      <c r="N33" s="159" t="s">
        <v>608</v>
      </c>
    </row>
    <row r="34" spans="1:14">
      <c r="A34" s="264" t="s">
        <v>315</v>
      </c>
      <c r="B34" s="36"/>
      <c r="C34" s="44">
        <v>253</v>
      </c>
      <c r="D34" s="264"/>
      <c r="E34" s="263">
        <v>0</v>
      </c>
      <c r="F34" s="309">
        <f t="shared" si="3"/>
        <v>0</v>
      </c>
      <c r="G34" s="310">
        <v>0</v>
      </c>
      <c r="H34" s="310">
        <v>0</v>
      </c>
      <c r="I34" s="310">
        <v>0</v>
      </c>
      <c r="J34" s="310">
        <v>0</v>
      </c>
      <c r="K34" s="310">
        <v>0</v>
      </c>
      <c r="L34" s="310">
        <v>0</v>
      </c>
      <c r="M34" s="311">
        <v>0</v>
      </c>
      <c r="N34" s="355"/>
    </row>
    <row r="35" spans="1:14">
      <c r="A35" s="264" t="s">
        <v>316</v>
      </c>
      <c r="B35" s="36"/>
      <c r="C35" s="44">
        <v>255</v>
      </c>
      <c r="D35" s="264"/>
      <c r="E35" s="263">
        <v>0</v>
      </c>
      <c r="F35" s="309">
        <f t="shared" si="3"/>
        <v>0</v>
      </c>
      <c r="G35" s="310">
        <v>0</v>
      </c>
      <c r="H35" s="310">
        <v>0</v>
      </c>
      <c r="I35" s="310">
        <v>0</v>
      </c>
      <c r="J35" s="310">
        <v>0</v>
      </c>
      <c r="K35" s="310">
        <v>0</v>
      </c>
      <c r="L35" s="310">
        <v>0</v>
      </c>
      <c r="M35" s="311">
        <v>0</v>
      </c>
      <c r="N35" s="355"/>
    </row>
    <row r="36" spans="1:14">
      <c r="A36" s="264" t="s">
        <v>317</v>
      </c>
      <c r="B36" s="36"/>
      <c r="C36" s="44">
        <v>256</v>
      </c>
      <c r="D36" s="264"/>
      <c r="E36" s="263">
        <v>0</v>
      </c>
      <c r="F36" s="309">
        <f t="shared" si="3"/>
        <v>0</v>
      </c>
      <c r="G36" s="310">
        <v>0</v>
      </c>
      <c r="H36" s="310">
        <v>0</v>
      </c>
      <c r="I36" s="310">
        <v>0</v>
      </c>
      <c r="J36" s="310">
        <v>0</v>
      </c>
      <c r="K36" s="310">
        <v>0</v>
      </c>
      <c r="L36" s="310">
        <v>0</v>
      </c>
      <c r="M36" s="311">
        <v>0</v>
      </c>
      <c r="N36" s="355"/>
    </row>
    <row r="37" spans="1:14">
      <c r="A37" s="264" t="s">
        <v>318</v>
      </c>
      <c r="B37" s="36"/>
      <c r="C37" s="44">
        <v>257</v>
      </c>
      <c r="D37" s="264"/>
      <c r="E37" s="263">
        <v>0</v>
      </c>
      <c r="F37" s="309">
        <f t="shared" si="3"/>
        <v>0</v>
      </c>
      <c r="G37" s="310">
        <v>0</v>
      </c>
      <c r="H37" s="310">
        <v>0</v>
      </c>
      <c r="I37" s="310">
        <v>0</v>
      </c>
      <c r="J37" s="310">
        <v>0</v>
      </c>
      <c r="K37" s="310">
        <v>0</v>
      </c>
      <c r="L37" s="310">
        <v>0</v>
      </c>
      <c r="M37" s="311">
        <v>0</v>
      </c>
      <c r="N37" s="355"/>
    </row>
    <row r="38" spans="1:14">
      <c r="A38" s="264" t="s">
        <v>319</v>
      </c>
      <c r="B38" s="36"/>
      <c r="C38" s="44" t="s">
        <v>320</v>
      </c>
      <c r="D38" s="264"/>
      <c r="E38" s="263">
        <v>2</v>
      </c>
      <c r="F38" s="309">
        <f t="shared" si="3"/>
        <v>2</v>
      </c>
      <c r="G38" s="310">
        <v>0</v>
      </c>
      <c r="H38" s="310">
        <v>2</v>
      </c>
      <c r="I38" s="310">
        <v>0</v>
      </c>
      <c r="J38" s="310">
        <v>0</v>
      </c>
      <c r="K38" s="310">
        <v>0</v>
      </c>
      <c r="L38" s="310">
        <v>0</v>
      </c>
      <c r="M38" s="311">
        <v>0</v>
      </c>
      <c r="N38" s="355"/>
    </row>
    <row r="39" spans="1:14">
      <c r="A39" s="265" t="s">
        <v>321</v>
      </c>
      <c r="B39" s="36"/>
      <c r="C39" s="266" t="s">
        <v>322</v>
      </c>
      <c r="D39" s="265"/>
      <c r="E39" s="263">
        <v>7</v>
      </c>
      <c r="F39" s="309">
        <f t="shared" si="3"/>
        <v>7</v>
      </c>
      <c r="G39" s="310">
        <v>0</v>
      </c>
      <c r="H39" s="310">
        <v>7</v>
      </c>
      <c r="I39" s="310">
        <v>0</v>
      </c>
      <c r="J39" s="310">
        <v>0</v>
      </c>
      <c r="K39" s="310">
        <v>0</v>
      </c>
      <c r="L39" s="310">
        <v>0</v>
      </c>
      <c r="M39" s="311">
        <v>0</v>
      </c>
      <c r="N39" s="355"/>
    </row>
    <row r="40" spans="1:14">
      <c r="A40" s="40" t="s">
        <v>326</v>
      </c>
      <c r="B40" s="265"/>
      <c r="C40" s="266"/>
      <c r="D40" s="267"/>
      <c r="E40" s="43">
        <f t="shared" ref="E40:M40" si="4">SUM(E27:E39)</f>
        <v>145</v>
      </c>
      <c r="F40" s="43">
        <f t="shared" si="4"/>
        <v>63</v>
      </c>
      <c r="G40" s="43">
        <f t="shared" si="4"/>
        <v>0</v>
      </c>
      <c r="H40" s="43">
        <f t="shared" si="4"/>
        <v>63</v>
      </c>
      <c r="I40" s="43">
        <f t="shared" si="4"/>
        <v>0</v>
      </c>
      <c r="J40" s="43">
        <f t="shared" si="4"/>
        <v>0</v>
      </c>
      <c r="K40" s="43">
        <f t="shared" si="4"/>
        <v>0</v>
      </c>
      <c r="L40" s="43">
        <f t="shared" si="4"/>
        <v>0</v>
      </c>
      <c r="M40" s="43">
        <f t="shared" si="4"/>
        <v>0</v>
      </c>
      <c r="N40" s="355"/>
    </row>
    <row r="41" spans="1:14" s="151" customFormat="1">
      <c r="A41" s="40" t="s">
        <v>327</v>
      </c>
      <c r="B41" s="51"/>
      <c r="C41" s="149"/>
      <c r="D41" s="267"/>
      <c r="E41" s="42"/>
      <c r="F41" s="240">
        <f>SUM(G41:L41)</f>
        <v>0</v>
      </c>
      <c r="G41" s="240"/>
      <c r="H41" s="240"/>
      <c r="I41" s="240"/>
      <c r="J41" s="240"/>
      <c r="K41" s="240"/>
      <c r="L41" s="240"/>
      <c r="M41" s="240"/>
      <c r="N41" s="355"/>
    </row>
    <row r="42" spans="1:14">
      <c r="A42" s="40" t="s">
        <v>328</v>
      </c>
      <c r="B42" s="46"/>
      <c r="C42" s="47"/>
      <c r="D42" s="48">
        <f>D40+D25+D19</f>
        <v>8.65</v>
      </c>
      <c r="E42" s="42">
        <f>+E40+E25+E19</f>
        <v>763</v>
      </c>
      <c r="F42" s="17">
        <f t="shared" ref="F42:M42" si="5">F40+F25+F19-F41</f>
        <v>805</v>
      </c>
      <c r="G42" s="17">
        <f t="shared" si="5"/>
        <v>0</v>
      </c>
      <c r="H42" s="17">
        <f t="shared" si="5"/>
        <v>805</v>
      </c>
      <c r="I42" s="17">
        <f t="shared" si="5"/>
        <v>0</v>
      </c>
      <c r="J42" s="17">
        <f t="shared" si="5"/>
        <v>0</v>
      </c>
      <c r="K42" s="17">
        <f t="shared" si="5"/>
        <v>0</v>
      </c>
      <c r="L42" s="17">
        <f t="shared" si="5"/>
        <v>0</v>
      </c>
      <c r="M42" s="17">
        <f t="shared" si="5"/>
        <v>0</v>
      </c>
      <c r="N42" s="353"/>
    </row>
    <row r="44" spans="1:14">
      <c r="A44" s="780" t="s">
        <v>569</v>
      </c>
      <c r="B44" s="781"/>
      <c r="C44" s="781"/>
      <c r="D44" s="781"/>
      <c r="E44" s="782"/>
      <c r="F44" s="309" t="s">
        <v>570</v>
      </c>
      <c r="G44" s="310" t="s">
        <v>0</v>
      </c>
      <c r="H44" s="310" t="s">
        <v>1</v>
      </c>
      <c r="I44" s="310" t="s">
        <v>2</v>
      </c>
      <c r="J44" s="310" t="s">
        <v>3</v>
      </c>
      <c r="K44" s="310" t="s">
        <v>4</v>
      </c>
      <c r="L44" s="310" t="s">
        <v>34</v>
      </c>
      <c r="M44" s="311"/>
      <c r="N44" s="355" t="s">
        <v>284</v>
      </c>
    </row>
    <row r="45" spans="1:14">
      <c r="A45" s="783" t="s">
        <v>571</v>
      </c>
      <c r="B45" s="784"/>
      <c r="C45" s="784"/>
      <c r="D45" s="785"/>
      <c r="E45" s="91"/>
      <c r="F45" s="88"/>
      <c r="G45" s="90">
        <v>0</v>
      </c>
      <c r="H45" s="90">
        <v>0.57999999999999996</v>
      </c>
      <c r="I45" s="90">
        <v>0.12</v>
      </c>
      <c r="J45" s="90">
        <v>0.3</v>
      </c>
      <c r="K45" s="90">
        <v>0</v>
      </c>
      <c r="L45" s="90"/>
      <c r="M45" s="88"/>
      <c r="N45" s="89"/>
    </row>
    <row r="46" spans="1:14" ht="15.6" thickBot="1">
      <c r="A46" s="774" t="s">
        <v>572</v>
      </c>
      <c r="B46" s="775"/>
      <c r="C46" s="775"/>
      <c r="D46" s="776"/>
      <c r="E46" s="83"/>
      <c r="F46" s="84">
        <f>F42</f>
        <v>805</v>
      </c>
      <c r="G46" s="85">
        <f t="shared" ref="G46:M46" si="6">$F46*G45</f>
        <v>0</v>
      </c>
      <c r="H46" s="85">
        <f t="shared" si="6"/>
        <v>466.9</v>
      </c>
      <c r="I46" s="85">
        <f t="shared" si="6"/>
        <v>96.6</v>
      </c>
      <c r="J46" s="85">
        <f t="shared" si="6"/>
        <v>241.5</v>
      </c>
      <c r="K46" s="85">
        <f t="shared" si="6"/>
        <v>0</v>
      </c>
      <c r="L46" s="85">
        <f t="shared" si="6"/>
        <v>0</v>
      </c>
      <c r="M46" s="86">
        <f t="shared" si="6"/>
        <v>0</v>
      </c>
      <c r="N46" s="87"/>
    </row>
    <row r="47" spans="1:14">
      <c r="A47" s="777" t="s">
        <v>573</v>
      </c>
      <c r="B47" s="778"/>
      <c r="C47" s="778"/>
      <c r="D47" s="779"/>
      <c r="E47" s="78"/>
      <c r="F47" s="79"/>
      <c r="G47" s="80">
        <f t="shared" ref="G47:M47" si="7">G42-G46</f>
        <v>0</v>
      </c>
      <c r="H47" s="80">
        <f t="shared" si="7"/>
        <v>338.1</v>
      </c>
      <c r="I47" s="80">
        <f t="shared" si="7"/>
        <v>-96.6</v>
      </c>
      <c r="J47" s="80">
        <f t="shared" si="7"/>
        <v>-241.5</v>
      </c>
      <c r="K47" s="80">
        <f t="shared" si="7"/>
        <v>0</v>
      </c>
      <c r="L47" s="80">
        <f t="shared" si="7"/>
        <v>0</v>
      </c>
      <c r="M47" s="81">
        <f t="shared" si="7"/>
        <v>0</v>
      </c>
      <c r="N47" s="82"/>
    </row>
    <row r="48" spans="1:14">
      <c r="A48" s="381"/>
      <c r="B48" s="381"/>
      <c r="C48" s="687"/>
      <c r="D48" s="381"/>
      <c r="E48" s="381"/>
      <c r="F48" s="381"/>
      <c r="G48" s="358"/>
      <c r="H48" s="367" t="s">
        <v>609</v>
      </c>
      <c r="I48" s="367"/>
      <c r="J48" s="367"/>
      <c r="K48" s="367"/>
      <c r="L48" s="368"/>
      <c r="M48" s="381"/>
      <c r="N48" s="381"/>
    </row>
    <row r="49" spans="3:13">
      <c r="C49" s="381"/>
      <c r="D49" s="381"/>
      <c r="E49" s="381"/>
      <c r="F49" s="381"/>
      <c r="G49" s="358" t="s">
        <v>610</v>
      </c>
      <c r="H49" s="368">
        <v>58</v>
      </c>
      <c r="I49" s="369">
        <v>12</v>
      </c>
      <c r="J49" s="368">
        <v>30</v>
      </c>
      <c r="K49" s="368"/>
      <c r="L49" s="368"/>
      <c r="M49" s="381"/>
    </row>
    <row r="50" spans="3:13">
      <c r="C50" s="381"/>
      <c r="D50" s="381"/>
      <c r="E50" s="381"/>
      <c r="F50" s="381"/>
      <c r="G50" s="358" t="s">
        <v>611</v>
      </c>
      <c r="H50" s="368">
        <v>58</v>
      </c>
      <c r="I50" s="369">
        <v>12</v>
      </c>
      <c r="J50" s="368">
        <v>30</v>
      </c>
      <c r="K50" s="368"/>
      <c r="L50" s="513"/>
      <c r="M50" s="381"/>
    </row>
    <row r="53" spans="3:13">
      <c r="C53" s="381"/>
      <c r="D53" s="381"/>
      <c r="E53" s="381"/>
      <c r="F53" s="381" t="s">
        <v>612</v>
      </c>
      <c r="G53" s="381"/>
      <c r="H53" s="381" t="s">
        <v>1</v>
      </c>
      <c r="I53" s="381" t="s">
        <v>2</v>
      </c>
      <c r="J53" s="381" t="s">
        <v>3</v>
      </c>
      <c r="K53" s="381" t="s">
        <v>5</v>
      </c>
      <c r="L53" s="381"/>
      <c r="M53" s="381"/>
    </row>
    <row r="54" spans="3:13">
      <c r="C54" s="687"/>
      <c r="D54" s="381"/>
      <c r="E54" s="381"/>
      <c r="F54" s="381" t="s">
        <v>32</v>
      </c>
      <c r="G54" s="381"/>
      <c r="H54" s="500">
        <f>+H46*'Prep%Fuelspercentage.direct'!$B$38</f>
        <v>285.78949</v>
      </c>
      <c r="I54" s="500">
        <f>+I46*'Prep%Fuelspercentage.direct'!$B$38</f>
        <v>59.128859999999996</v>
      </c>
      <c r="J54" s="500">
        <f>+J46*'Prep%Fuelspercentage.direct'!$B$38</f>
        <v>147.82214999999999</v>
      </c>
      <c r="K54" s="430">
        <f>SUM(H54:J54)</f>
        <v>492.7405</v>
      </c>
      <c r="L54" s="381"/>
      <c r="M54" s="381"/>
    </row>
    <row r="55" spans="3:13">
      <c r="C55" s="687"/>
      <c r="D55" s="381"/>
      <c r="E55" s="381"/>
      <c r="F55" s="381" t="s">
        <v>33</v>
      </c>
      <c r="G55" s="381"/>
      <c r="H55" s="500">
        <f>+H46*'Prep%Fuelspercentage.direct'!$B$39</f>
        <v>181.11051</v>
      </c>
      <c r="I55" s="500">
        <f>+I46*'Prep%Fuelspercentage.direct'!$B$39</f>
        <v>37.471139999999998</v>
      </c>
      <c r="J55" s="500">
        <f>+J46*'Prep%Fuelspercentage.direct'!$B$39</f>
        <v>93.677850000000007</v>
      </c>
      <c r="K55" s="430">
        <f>SUM(H55:J55)</f>
        <v>312.2595</v>
      </c>
      <c r="L55" s="381"/>
      <c r="M55" s="381"/>
    </row>
    <row r="56" spans="3:13">
      <c r="C56" s="687"/>
      <c r="D56" s="381"/>
      <c r="E56" s="381"/>
      <c r="F56" s="381"/>
      <c r="G56" s="381"/>
      <c r="H56" s="381"/>
      <c r="I56" s="381"/>
      <c r="J56" s="381"/>
      <c r="K56" s="381"/>
      <c r="L56" s="381"/>
      <c r="M56" s="381"/>
    </row>
    <row r="57" spans="3:13">
      <c r="C57" s="687"/>
      <c r="D57" s="381"/>
      <c r="E57" s="381"/>
      <c r="F57" s="381" t="s">
        <v>613</v>
      </c>
      <c r="G57" s="381"/>
      <c r="H57" s="394">
        <f>SUM(H54:H56)</f>
        <v>466.9</v>
      </c>
      <c r="I57" s="394">
        <f>SUM(I54:I56)</f>
        <v>96.6</v>
      </c>
      <c r="J57" s="394">
        <f>SUM(J54:J56)</f>
        <v>241.5</v>
      </c>
      <c r="K57" s="430">
        <f>SUM(K54:K56)</f>
        <v>805</v>
      </c>
      <c r="L57" s="394"/>
      <c r="M57" s="381"/>
    </row>
    <row r="60" spans="3:13">
      <c r="C60" s="687"/>
      <c r="D60" s="381"/>
      <c r="E60" s="381"/>
      <c r="F60" s="381" t="s">
        <v>614</v>
      </c>
      <c r="G60" s="381"/>
      <c r="H60" s="381" t="s">
        <v>1</v>
      </c>
      <c r="I60" s="381" t="s">
        <v>2</v>
      </c>
      <c r="J60" s="381" t="s">
        <v>3</v>
      </c>
      <c r="K60" s="381" t="s">
        <v>5</v>
      </c>
      <c r="L60" s="381" t="s">
        <v>615</v>
      </c>
      <c r="M60" s="381"/>
    </row>
    <row r="61" spans="3:13">
      <c r="C61" s="687"/>
      <c r="D61" s="381"/>
      <c r="E61" s="381"/>
      <c r="F61" s="381" t="s">
        <v>32</v>
      </c>
      <c r="G61" s="381"/>
      <c r="H61" s="500">
        <v>273.31363309467196</v>
      </c>
      <c r="I61" s="500">
        <v>56.547648226483865</v>
      </c>
      <c r="J61" s="500">
        <v>141.36912056620966</v>
      </c>
      <c r="K61" s="430">
        <v>471.23040188736547</v>
      </c>
      <c r="L61" s="381"/>
      <c r="M61" s="381"/>
    </row>
    <row r="62" spans="3:13">
      <c r="C62" s="687"/>
      <c r="D62" s="381"/>
      <c r="E62" s="381"/>
      <c r="F62" s="381" t="s">
        <v>33</v>
      </c>
      <c r="G62" s="381"/>
      <c r="H62" s="500">
        <v>169.22636690532798</v>
      </c>
      <c r="I62" s="500">
        <v>35.012351773516137</v>
      </c>
      <c r="J62" s="500">
        <v>87.530879433790346</v>
      </c>
      <c r="K62" s="430">
        <v>291.76959811263447</v>
      </c>
      <c r="L62" s="381"/>
      <c r="M62" s="381"/>
    </row>
    <row r="63" spans="3:13">
      <c r="C63" s="687"/>
      <c r="D63" s="381"/>
      <c r="E63" s="381"/>
      <c r="F63" s="381"/>
      <c r="G63" s="381"/>
      <c r="H63" s="381"/>
      <c r="I63" s="381"/>
      <c r="J63" s="381"/>
      <c r="K63" s="381"/>
      <c r="L63" s="381"/>
      <c r="M63" s="381"/>
    </row>
    <row r="64" spans="3:13">
      <c r="C64" s="687"/>
      <c r="D64" s="381"/>
      <c r="E64" s="381"/>
      <c r="F64" s="381" t="s">
        <v>613</v>
      </c>
      <c r="G64" s="381"/>
      <c r="H64" s="394">
        <v>442.53999999999996</v>
      </c>
      <c r="I64" s="394">
        <v>91.56</v>
      </c>
      <c r="J64" s="394">
        <v>228.9</v>
      </c>
      <c r="K64" s="430">
        <v>763</v>
      </c>
      <c r="L64" s="394"/>
      <c r="M64" s="381"/>
    </row>
    <row r="67" spans="1:14">
      <c r="A67" s="381"/>
      <c r="B67" s="381"/>
      <c r="C67" s="687"/>
      <c r="D67" s="381"/>
      <c r="E67" s="381"/>
      <c r="F67" s="381" t="s">
        <v>616</v>
      </c>
      <c r="G67" s="381"/>
      <c r="H67" s="394">
        <v>0</v>
      </c>
      <c r="I67" s="394">
        <v>0</v>
      </c>
      <c r="J67" s="394">
        <v>0</v>
      </c>
      <c r="K67" s="394">
        <f>SUM(H67:J67)</f>
        <v>0</v>
      </c>
      <c r="L67" s="381" t="s">
        <v>617</v>
      </c>
      <c r="M67" s="381"/>
      <c r="N67" s="381"/>
    </row>
    <row r="70" spans="1:14" s="381" customFormat="1" ht="15.6" thickBot="1">
      <c r="A70" s="31"/>
      <c r="B70" s="31"/>
      <c r="C70" s="32"/>
      <c r="D70" s="31"/>
      <c r="E70" s="31"/>
      <c r="F70" s="31"/>
      <c r="G70" s="31"/>
      <c r="H70" s="31"/>
      <c r="K70" s="498"/>
    </row>
    <row r="71" spans="1:14" s="381" customFormat="1" ht="15.6">
      <c r="A71" s="764" t="s">
        <v>330</v>
      </c>
      <c r="B71" s="765"/>
      <c r="C71" s="765"/>
      <c r="D71" s="765"/>
      <c r="E71" s="765"/>
      <c r="F71" s="765"/>
      <c r="G71" s="581"/>
      <c r="H71" s="31"/>
      <c r="K71" s="498"/>
      <c r="N71" s="602"/>
    </row>
    <row r="72" spans="1:14" s="381" customFormat="1" ht="15.6">
      <c r="A72" s="738"/>
      <c r="B72" s="739"/>
      <c r="C72" s="739"/>
      <c r="D72" s="739"/>
      <c r="E72" s="739"/>
      <c r="F72" s="739"/>
      <c r="G72" s="582"/>
      <c r="H72" s="31"/>
      <c r="I72" s="31"/>
      <c r="J72" s="31"/>
      <c r="K72" s="31"/>
      <c r="L72" s="31"/>
      <c r="M72" s="31"/>
      <c r="N72" s="562"/>
    </row>
    <row r="73" spans="1:14" s="381" customFormat="1">
      <c r="A73" s="740" t="s">
        <v>331</v>
      </c>
      <c r="B73" s="741"/>
      <c r="C73" s="583"/>
      <c r="D73" s="583"/>
      <c r="E73" s="583"/>
      <c r="F73" s="583"/>
      <c r="G73" s="582"/>
      <c r="H73" s="31"/>
      <c r="I73" s="31"/>
      <c r="J73" s="31"/>
      <c r="K73" s="31"/>
      <c r="L73" s="31"/>
      <c r="M73" s="31"/>
      <c r="N73" s="562"/>
    </row>
    <row r="74" spans="1:14" s="381" customFormat="1">
      <c r="A74" s="584" t="s">
        <v>361</v>
      </c>
      <c r="B74" s="585">
        <f>E42</f>
        <v>763</v>
      </c>
      <c r="C74" s="586"/>
      <c r="D74" s="587"/>
      <c r="E74" s="587"/>
      <c r="F74" s="587"/>
      <c r="G74" s="582"/>
      <c r="H74" s="31"/>
      <c r="I74" s="31"/>
      <c r="J74" s="31"/>
      <c r="K74" s="31"/>
      <c r="L74" s="31"/>
      <c r="M74" s="31"/>
      <c r="N74" s="562"/>
    </row>
    <row r="75" spans="1:14" s="381" customFormat="1">
      <c r="A75" s="588" t="s">
        <v>362</v>
      </c>
      <c r="B75" s="589">
        <f>F42</f>
        <v>805</v>
      </c>
      <c r="C75" s="586"/>
      <c r="D75" s="587"/>
      <c r="E75" s="587"/>
      <c r="F75" s="587"/>
      <c r="G75" s="582"/>
      <c r="H75" s="31"/>
      <c r="I75" s="31"/>
      <c r="J75" s="31"/>
      <c r="K75" s="31"/>
      <c r="L75" s="31"/>
      <c r="M75" s="31"/>
      <c r="N75" s="562"/>
    </row>
    <row r="76" spans="1:14" s="381" customFormat="1">
      <c r="A76" s="590" t="s">
        <v>334</v>
      </c>
      <c r="B76" s="591">
        <f>B75-B74</f>
        <v>42</v>
      </c>
      <c r="C76" s="586"/>
      <c r="D76" s="587"/>
      <c r="E76" s="587"/>
      <c r="F76" s="587"/>
      <c r="G76" s="582"/>
      <c r="H76" s="31"/>
      <c r="I76" s="31"/>
      <c r="J76" s="31"/>
      <c r="K76" s="31"/>
      <c r="L76" s="31"/>
      <c r="M76" s="31"/>
      <c r="N76" s="562"/>
    </row>
    <row r="77" spans="1:14" s="381" customFormat="1">
      <c r="A77" s="590" t="s">
        <v>335</v>
      </c>
      <c r="B77" s="592">
        <f>B76/B74</f>
        <v>5.5045871559633031E-2</v>
      </c>
      <c r="C77" s="586"/>
      <c r="D77" s="587"/>
      <c r="E77" s="587"/>
      <c r="F77" s="587"/>
      <c r="G77" s="582"/>
      <c r="H77" s="31"/>
      <c r="I77" s="31"/>
      <c r="J77" s="31"/>
      <c r="K77" s="31"/>
      <c r="L77" s="31"/>
      <c r="M77" s="31"/>
      <c r="N77" s="562"/>
    </row>
    <row r="78" spans="1:14" s="381" customFormat="1">
      <c r="A78" s="593"/>
      <c r="B78" s="587"/>
      <c r="C78" s="686"/>
      <c r="D78" s="587"/>
      <c r="E78" s="587"/>
      <c r="F78" s="587"/>
      <c r="G78" s="582"/>
      <c r="H78" s="31"/>
      <c r="I78" s="31"/>
      <c r="J78" s="31"/>
      <c r="K78" s="31"/>
      <c r="L78" s="31"/>
      <c r="M78" s="31"/>
      <c r="N78" s="562"/>
    </row>
    <row r="79" spans="1:14" s="381" customFormat="1">
      <c r="A79" s="731" t="s">
        <v>336</v>
      </c>
      <c r="B79" s="732"/>
      <c r="C79" s="732"/>
      <c r="D79" s="732"/>
      <c r="E79" s="732"/>
      <c r="F79" s="732"/>
      <c r="G79" s="582"/>
      <c r="H79" s="31"/>
      <c r="I79" s="31"/>
      <c r="J79" s="31"/>
      <c r="K79" s="31"/>
      <c r="L79" s="31"/>
      <c r="M79" s="31"/>
      <c r="N79" s="562"/>
    </row>
    <row r="80" spans="1:14" s="381" customFormat="1">
      <c r="A80" s="766" t="s">
        <v>618</v>
      </c>
      <c r="B80" s="767"/>
      <c r="C80" s="767"/>
      <c r="D80" s="767"/>
      <c r="E80" s="767"/>
      <c r="F80" s="768"/>
      <c r="G80" s="582"/>
      <c r="H80" s="31"/>
      <c r="I80" s="31"/>
      <c r="J80" s="31"/>
      <c r="K80" s="31"/>
      <c r="L80" s="31"/>
      <c r="M80" s="31"/>
      <c r="N80" s="562"/>
    </row>
    <row r="81" spans="1:14" s="381" customFormat="1">
      <c r="A81" s="594"/>
      <c r="B81" s="595"/>
      <c r="C81" s="595"/>
      <c r="D81" s="595"/>
      <c r="E81" s="595"/>
      <c r="F81" s="595"/>
      <c r="G81" s="582"/>
      <c r="H81" s="31"/>
      <c r="I81" s="31"/>
      <c r="J81" s="31"/>
      <c r="K81" s="31"/>
      <c r="L81" s="31"/>
      <c r="M81" s="31"/>
      <c r="N81" s="562"/>
    </row>
    <row r="82" spans="1:14" s="381" customFormat="1">
      <c r="A82" s="596" t="s">
        <v>337</v>
      </c>
      <c r="B82" s="587"/>
      <c r="C82" s="686"/>
      <c r="D82" s="587"/>
      <c r="E82" s="587"/>
      <c r="F82" s="587"/>
      <c r="G82" s="582"/>
      <c r="H82" s="31"/>
      <c r="I82" s="31"/>
      <c r="J82" s="31"/>
      <c r="K82" s="31"/>
      <c r="L82" s="31"/>
      <c r="M82" s="31"/>
      <c r="N82" s="562"/>
    </row>
    <row r="83" spans="1:14" s="381" customFormat="1" ht="59.4" customHeight="1">
      <c r="A83" s="766" t="s">
        <v>619</v>
      </c>
      <c r="B83" s="767"/>
      <c r="C83" s="767"/>
      <c r="D83" s="767"/>
      <c r="E83" s="767"/>
      <c r="F83" s="768"/>
      <c r="G83" s="582"/>
      <c r="H83" s="31"/>
      <c r="I83" s="31"/>
      <c r="J83" s="31"/>
      <c r="K83" s="31"/>
      <c r="L83" s="31"/>
      <c r="M83" s="31"/>
      <c r="N83" s="562"/>
    </row>
    <row r="84" spans="1:14" s="381" customFormat="1">
      <c r="A84" s="593"/>
      <c r="B84" s="587"/>
      <c r="C84" s="686"/>
      <c r="D84" s="587"/>
      <c r="E84" s="587"/>
      <c r="F84" s="587"/>
      <c r="G84" s="582"/>
      <c r="H84" s="31"/>
      <c r="I84" s="31"/>
      <c r="J84" s="31"/>
      <c r="K84" s="31"/>
      <c r="L84" s="31"/>
      <c r="M84" s="31"/>
      <c r="N84" s="562"/>
    </row>
    <row r="85" spans="1:14" s="381" customFormat="1">
      <c r="A85" s="731" t="s">
        <v>365</v>
      </c>
      <c r="B85" s="732"/>
      <c r="C85" s="732"/>
      <c r="D85" s="732"/>
      <c r="E85" s="732"/>
      <c r="F85" s="732"/>
      <c r="G85" s="582"/>
      <c r="H85" s="31"/>
      <c r="I85" s="31"/>
      <c r="J85" s="31"/>
      <c r="K85" s="31"/>
      <c r="L85" s="31"/>
      <c r="M85" s="31"/>
      <c r="N85" s="562"/>
    </row>
    <row r="86" spans="1:14" s="381" customFormat="1">
      <c r="A86" s="733" t="s">
        <v>339</v>
      </c>
      <c r="B86" s="734"/>
      <c r="C86" s="734"/>
      <c r="D86" s="734"/>
      <c r="E86" s="734"/>
      <c r="F86" s="734"/>
      <c r="G86" s="582"/>
      <c r="H86" s="31"/>
      <c r="I86" s="31"/>
      <c r="J86" s="31"/>
      <c r="K86" s="31"/>
      <c r="L86" s="31"/>
      <c r="M86" s="31"/>
      <c r="N86" s="562"/>
    </row>
    <row r="87" spans="1:14" s="381" customFormat="1">
      <c r="A87" s="766" t="s">
        <v>620</v>
      </c>
      <c r="B87" s="767"/>
      <c r="C87" s="767"/>
      <c r="D87" s="767"/>
      <c r="E87" s="767"/>
      <c r="F87" s="768"/>
      <c r="G87" s="582"/>
      <c r="H87" s="31"/>
      <c r="I87" s="31"/>
      <c r="J87" s="31"/>
      <c r="K87" s="31"/>
      <c r="L87" s="31"/>
      <c r="M87" s="31"/>
      <c r="N87" s="562"/>
    </row>
    <row r="88" spans="1:14" s="381" customFormat="1">
      <c r="A88" s="596"/>
      <c r="B88" s="587"/>
      <c r="C88" s="686"/>
      <c r="D88" s="587"/>
      <c r="E88" s="587"/>
      <c r="F88" s="587"/>
      <c r="G88" s="582"/>
      <c r="H88" s="31"/>
      <c r="I88" s="31"/>
      <c r="J88" s="31"/>
      <c r="K88" s="31"/>
      <c r="L88" s="31"/>
      <c r="M88" s="31"/>
      <c r="N88" s="562"/>
    </row>
    <row r="89" spans="1:14" s="381" customFormat="1">
      <c r="A89" s="731" t="s">
        <v>340</v>
      </c>
      <c r="B89" s="732"/>
      <c r="C89" s="732"/>
      <c r="D89" s="732"/>
      <c r="E89" s="732"/>
      <c r="F89" s="587"/>
      <c r="G89" s="582"/>
      <c r="H89" s="31"/>
      <c r="I89" s="31"/>
      <c r="J89" s="31"/>
      <c r="K89" s="31"/>
      <c r="L89" s="31"/>
      <c r="M89" s="31"/>
      <c r="N89" s="562"/>
    </row>
    <row r="90" spans="1:14" s="381" customFormat="1" ht="30.25" customHeight="1">
      <c r="A90" s="766" t="s">
        <v>621</v>
      </c>
      <c r="B90" s="767"/>
      <c r="C90" s="767"/>
      <c r="D90" s="767"/>
      <c r="E90" s="767"/>
      <c r="F90" s="768"/>
      <c r="G90" s="582"/>
      <c r="H90" s="31"/>
      <c r="I90" s="31"/>
      <c r="J90" s="31"/>
      <c r="K90" s="31"/>
      <c r="L90" s="31"/>
      <c r="M90" s="31"/>
      <c r="N90" s="562"/>
    </row>
    <row r="91" spans="1:14" s="381" customFormat="1">
      <c r="A91" s="593"/>
      <c r="B91" s="587"/>
      <c r="C91" s="686"/>
      <c r="D91" s="587"/>
      <c r="E91" s="587"/>
      <c r="F91" s="587"/>
      <c r="G91" s="582"/>
      <c r="H91" s="31"/>
      <c r="I91" s="31"/>
      <c r="J91" s="31"/>
      <c r="K91" s="31"/>
      <c r="L91" s="31"/>
      <c r="M91" s="31"/>
      <c r="N91" s="562"/>
    </row>
    <row r="92" spans="1:14" s="381" customFormat="1">
      <c r="A92" s="596" t="s">
        <v>341</v>
      </c>
      <c r="B92" s="587"/>
      <c r="C92" s="686"/>
      <c r="D92" s="587"/>
      <c r="E92" s="587"/>
      <c r="F92" s="587"/>
      <c r="G92" s="582"/>
      <c r="H92" s="31"/>
      <c r="I92" s="31"/>
      <c r="J92" s="31"/>
      <c r="K92" s="31"/>
      <c r="L92" s="31"/>
      <c r="M92" s="31"/>
      <c r="N92" s="562"/>
    </row>
    <row r="93" spans="1:14" s="381" customFormat="1">
      <c r="A93" s="597" t="s">
        <v>342</v>
      </c>
      <c r="B93" s="587"/>
      <c r="C93" s="686"/>
      <c r="D93" s="587"/>
      <c r="E93" s="587"/>
      <c r="F93" s="587"/>
      <c r="G93" s="582"/>
      <c r="H93" s="31"/>
      <c r="I93" s="31"/>
      <c r="J93" s="31"/>
      <c r="K93" s="31"/>
      <c r="L93" s="31"/>
      <c r="M93" s="31"/>
      <c r="N93" s="562"/>
    </row>
    <row r="94" spans="1:14" s="381" customFormat="1" ht="26.2" customHeight="1">
      <c r="A94" s="719" t="s">
        <v>368</v>
      </c>
      <c r="B94" s="720"/>
      <c r="C94" s="720"/>
      <c r="D94" s="720"/>
      <c r="E94" s="720"/>
      <c r="F94" s="720"/>
      <c r="G94" s="582"/>
      <c r="H94" s="31"/>
      <c r="I94" s="31"/>
      <c r="J94" s="31"/>
      <c r="K94" s="31"/>
      <c r="L94" s="31"/>
      <c r="M94" s="31"/>
      <c r="N94" s="562"/>
    </row>
    <row r="95" spans="1:14" s="381" customFormat="1" ht="26.2" customHeight="1">
      <c r="A95" s="766" t="s">
        <v>622</v>
      </c>
      <c r="B95" s="767"/>
      <c r="C95" s="767"/>
      <c r="D95" s="767"/>
      <c r="E95" s="767"/>
      <c r="F95" s="768"/>
      <c r="G95" s="582"/>
      <c r="H95" s="31"/>
      <c r="I95" s="31"/>
      <c r="J95" s="31"/>
      <c r="K95" s="31"/>
      <c r="L95" s="31"/>
      <c r="M95" s="31"/>
      <c r="N95" s="562"/>
    </row>
    <row r="96" spans="1:14" s="381" customFormat="1">
      <c r="A96" s="724"/>
      <c r="B96" s="725"/>
      <c r="C96" s="725"/>
      <c r="D96" s="725"/>
      <c r="E96" s="725"/>
      <c r="F96" s="725"/>
      <c r="G96" s="582"/>
      <c r="H96" s="31"/>
      <c r="I96" s="31"/>
      <c r="J96" s="31"/>
      <c r="K96" s="31"/>
      <c r="L96" s="31"/>
      <c r="M96" s="31"/>
      <c r="N96" s="562"/>
    </row>
    <row r="97" spans="1:14" s="381" customFormat="1">
      <c r="A97" s="597" t="s">
        <v>344</v>
      </c>
      <c r="B97" s="587"/>
      <c r="C97" s="686"/>
      <c r="D97" s="587"/>
      <c r="E97" s="587"/>
      <c r="F97" s="587"/>
      <c r="G97" s="582"/>
      <c r="H97" s="31"/>
      <c r="I97" s="31"/>
      <c r="J97" s="31"/>
      <c r="K97" s="31"/>
      <c r="L97" s="31"/>
      <c r="M97" s="31"/>
      <c r="N97" s="562"/>
    </row>
    <row r="98" spans="1:14" s="381" customFormat="1" ht="28.8" customHeight="1">
      <c r="A98" s="726" t="s">
        <v>345</v>
      </c>
      <c r="B98" s="727"/>
      <c r="C98" s="727"/>
      <c r="D98" s="727"/>
      <c r="E98" s="727"/>
      <c r="F98" s="727"/>
      <c r="G98" s="582"/>
      <c r="H98" s="31"/>
      <c r="I98" s="31"/>
      <c r="J98" s="31"/>
      <c r="K98" s="31"/>
      <c r="L98" s="31"/>
      <c r="M98" s="31"/>
      <c r="N98" s="562"/>
    </row>
    <row r="99" spans="1:14" s="381" customFormat="1" ht="30.8" customHeight="1">
      <c r="A99" s="728"/>
      <c r="B99" s="729"/>
      <c r="C99" s="729"/>
      <c r="D99" s="729"/>
      <c r="E99" s="729"/>
      <c r="F99" s="730"/>
      <c r="G99" s="582"/>
      <c r="H99" s="31"/>
      <c r="I99" s="31"/>
      <c r="J99" s="31"/>
      <c r="K99" s="31"/>
      <c r="L99" s="31"/>
      <c r="M99" s="31"/>
      <c r="N99" s="562"/>
    </row>
    <row r="100" spans="1:14" s="381" customFormat="1" ht="15.6" thickBot="1">
      <c r="A100" s="598"/>
      <c r="B100" s="599"/>
      <c r="C100" s="600"/>
      <c r="D100" s="599"/>
      <c r="E100" s="599"/>
      <c r="F100" s="599"/>
      <c r="G100" s="601"/>
      <c r="H100" s="31"/>
      <c r="I100" s="31"/>
      <c r="J100" s="31"/>
      <c r="K100" s="31"/>
      <c r="L100" s="31"/>
      <c r="M100" s="31"/>
      <c r="N100" s="562"/>
    </row>
    <row r="101" spans="1:14" s="381" customFormat="1">
      <c r="A101" s="31"/>
      <c r="B101" s="31"/>
      <c r="C101" s="32"/>
      <c r="D101" s="31"/>
      <c r="E101" s="31"/>
      <c r="F101" s="31"/>
      <c r="G101" s="31"/>
      <c r="H101" s="31"/>
      <c r="I101" s="31"/>
      <c r="J101" s="31"/>
      <c r="K101" s="31"/>
      <c r="L101" s="31"/>
      <c r="M101" s="31"/>
      <c r="N101" s="562"/>
    </row>
  </sheetData>
  <mergeCells count="21">
    <mergeCell ref="A46:D46"/>
    <mergeCell ref="A47:D47"/>
    <mergeCell ref="A1:N1"/>
    <mergeCell ref="A44:E44"/>
    <mergeCell ref="A45:D45"/>
    <mergeCell ref="A71:F71"/>
    <mergeCell ref="A72:F72"/>
    <mergeCell ref="A73:B73"/>
    <mergeCell ref="A79:F79"/>
    <mergeCell ref="A80:F80"/>
    <mergeCell ref="A83:F83"/>
    <mergeCell ref="A85:F85"/>
    <mergeCell ref="A86:F86"/>
    <mergeCell ref="A87:F87"/>
    <mergeCell ref="A89:E89"/>
    <mergeCell ref="A99:F99"/>
    <mergeCell ref="A90:F90"/>
    <mergeCell ref="A94:F94"/>
    <mergeCell ref="A95:F95"/>
    <mergeCell ref="A96:F96"/>
    <mergeCell ref="A98:F98"/>
  </mergeCells>
  <printOptions horizontalCentered="1"/>
  <pageMargins left="0.2" right="0.2" top="0.75" bottom="0.75" header="0.3" footer="0.3"/>
  <pageSetup scale="70" fitToHeight="0" orientation="landscape" r:id="rId1"/>
  <headerFooter>
    <oddHeader xml:space="preserve">&amp;CDRAFT NOT FOR DISTRIBUTION, INTERNAL USE ONLY
</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39997558519241921"/>
    <pageSetUpPr fitToPage="1"/>
  </sheetPr>
  <dimension ref="A1:N94"/>
  <sheetViews>
    <sheetView zoomScaleNormal="100" workbookViewId="0">
      <selection sqref="A1:N1"/>
    </sheetView>
  </sheetViews>
  <sheetFormatPr defaultRowHeight="14.85"/>
  <cols>
    <col min="1" max="1" width="50.42578125" customWidth="1"/>
    <col min="2" max="2" width="16" customWidth="1"/>
    <col min="3" max="3" width="7.7109375" style="30" customWidth="1"/>
    <col min="4" max="4" width="15.7109375" customWidth="1"/>
    <col min="5" max="5" width="10.7109375" customWidth="1"/>
    <col min="6" max="6" width="11" customWidth="1"/>
    <col min="7" max="7" width="9.5703125" customWidth="1"/>
    <col min="8" max="8" width="8.42578125" customWidth="1"/>
    <col min="9" max="9" width="7.140625" customWidth="1"/>
    <col min="10" max="10" width="8.42578125" bestFit="1" customWidth="1"/>
    <col min="11" max="11" width="7.7109375" customWidth="1"/>
    <col min="12" max="12" width="9.7109375" customWidth="1"/>
    <col min="13" max="13" width="9.140625" customWidth="1"/>
    <col min="14" max="14" width="30.28515625" customWidth="1"/>
  </cols>
  <sheetData>
    <row r="1" spans="1:14" ht="15.6">
      <c r="A1" s="745" t="s">
        <v>623</v>
      </c>
      <c r="B1" s="745"/>
      <c r="C1" s="745"/>
      <c r="D1" s="745"/>
      <c r="E1" s="745"/>
      <c r="F1" s="745"/>
      <c r="G1" s="745"/>
      <c r="H1" s="745"/>
      <c r="I1" s="745"/>
      <c r="J1" s="745"/>
      <c r="K1" s="745"/>
      <c r="L1" s="745"/>
      <c r="M1" s="745"/>
      <c r="N1" s="745"/>
    </row>
    <row r="2" spans="1:14">
      <c r="A2" s="65" t="s">
        <v>624</v>
      </c>
      <c r="B2" s="381"/>
      <c r="C2" s="687"/>
      <c r="D2" s="381"/>
      <c r="E2" s="381"/>
      <c r="F2" s="381"/>
      <c r="G2" s="381"/>
      <c r="H2" s="381"/>
      <c r="I2" s="381"/>
      <c r="J2" s="381"/>
      <c r="K2" s="381"/>
      <c r="L2" s="381"/>
      <c r="M2" s="381"/>
      <c r="N2" s="381"/>
    </row>
    <row r="3" spans="1:14">
      <c r="A3" s="65" t="s">
        <v>625</v>
      </c>
      <c r="B3" s="381"/>
      <c r="C3" s="687"/>
      <c r="D3" s="381"/>
      <c r="E3" s="554" t="s">
        <v>275</v>
      </c>
      <c r="F3" s="381"/>
      <c r="G3" s="381"/>
      <c r="H3" s="381"/>
      <c r="I3" s="381"/>
      <c r="J3" s="381"/>
      <c r="K3" s="381"/>
      <c r="L3" s="381"/>
      <c r="M3" s="381"/>
      <c r="N3" s="381"/>
    </row>
    <row r="4" spans="1:14">
      <c r="A4" s="65" t="s">
        <v>626</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30.25" customHeight="1">
      <c r="A7" s="36" t="s">
        <v>286</v>
      </c>
      <c r="B7" s="36"/>
      <c r="C7" s="37" t="s">
        <v>287</v>
      </c>
      <c r="D7" s="38"/>
      <c r="E7" s="263">
        <v>0</v>
      </c>
      <c r="F7" s="309">
        <v>0</v>
      </c>
      <c r="G7" s="310">
        <v>0</v>
      </c>
      <c r="H7" s="310"/>
      <c r="I7" s="310">
        <v>0</v>
      </c>
      <c r="J7" s="310">
        <v>0</v>
      </c>
      <c r="K7" s="310">
        <v>0</v>
      </c>
      <c r="L7" s="310">
        <v>0</v>
      </c>
      <c r="M7" s="311">
        <v>0</v>
      </c>
      <c r="N7" s="355"/>
    </row>
    <row r="8" spans="1:14" ht="15.05" customHeight="1">
      <c r="A8" s="36" t="s">
        <v>286</v>
      </c>
      <c r="B8" s="36"/>
      <c r="C8" s="37" t="s">
        <v>287</v>
      </c>
      <c r="D8" s="39"/>
      <c r="E8" s="263"/>
      <c r="F8" s="309"/>
      <c r="G8" s="310">
        <v>0</v>
      </c>
      <c r="H8" s="310"/>
      <c r="I8" s="310">
        <v>0</v>
      </c>
      <c r="J8" s="310">
        <v>0</v>
      </c>
      <c r="K8" s="310">
        <v>0</v>
      </c>
      <c r="L8" s="310">
        <v>0</v>
      </c>
      <c r="M8" s="311">
        <v>0</v>
      </c>
      <c r="N8" s="355"/>
    </row>
    <row r="9" spans="1:14">
      <c r="A9" s="36" t="s">
        <v>286</v>
      </c>
      <c r="B9" s="264"/>
      <c r="C9" s="37" t="s">
        <v>287</v>
      </c>
      <c r="D9" s="39"/>
      <c r="E9" s="263"/>
      <c r="F9" s="309"/>
      <c r="G9" s="310">
        <v>0</v>
      </c>
      <c r="H9" s="310"/>
      <c r="I9" s="310">
        <v>0</v>
      </c>
      <c r="J9" s="310">
        <v>0</v>
      </c>
      <c r="K9" s="310">
        <v>0</v>
      </c>
      <c r="L9" s="310">
        <v>0</v>
      </c>
      <c r="M9" s="311">
        <v>0</v>
      </c>
      <c r="N9" s="355"/>
    </row>
    <row r="10" spans="1:14" ht="15.05" customHeight="1">
      <c r="A10" s="36" t="s">
        <v>286</v>
      </c>
      <c r="B10" s="264"/>
      <c r="C10" s="37" t="s">
        <v>287</v>
      </c>
      <c r="D10" s="39"/>
      <c r="E10" s="263"/>
      <c r="F10" s="309"/>
      <c r="G10" s="310">
        <v>0</v>
      </c>
      <c r="H10" s="310"/>
      <c r="I10" s="310">
        <v>0</v>
      </c>
      <c r="J10" s="310">
        <v>0</v>
      </c>
      <c r="K10" s="310">
        <v>0</v>
      </c>
      <c r="L10" s="310">
        <v>0</v>
      </c>
      <c r="M10" s="311">
        <v>0</v>
      </c>
      <c r="N10" s="355"/>
    </row>
    <row r="11" spans="1:14" ht="15.05" customHeight="1">
      <c r="A11" s="36" t="s">
        <v>286</v>
      </c>
      <c r="B11" s="36"/>
      <c r="C11" s="37" t="s">
        <v>287</v>
      </c>
      <c r="D11" s="39"/>
      <c r="E11" s="263">
        <v>0</v>
      </c>
      <c r="F11" s="309">
        <f>SUM(G11:M11)</f>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SUM(G12:M12)</f>
        <v>0</v>
      </c>
      <c r="G12" s="310">
        <v>0</v>
      </c>
      <c r="H12" s="310">
        <v>0</v>
      </c>
      <c r="I12" s="310">
        <v>0</v>
      </c>
      <c r="J12" s="310">
        <v>0</v>
      </c>
      <c r="K12" s="310">
        <v>0</v>
      </c>
      <c r="L12" s="310">
        <v>0</v>
      </c>
      <c r="M12" s="311">
        <v>0</v>
      </c>
      <c r="N12" s="355"/>
    </row>
    <row r="13" spans="1:14">
      <c r="A13" s="36" t="s">
        <v>286</v>
      </c>
      <c r="B13" s="264"/>
      <c r="C13" s="37" t="s">
        <v>287</v>
      </c>
      <c r="D13" s="39"/>
      <c r="E13" s="263">
        <v>0</v>
      </c>
      <c r="F13" s="309">
        <f>SUM(G13:M13)</f>
        <v>0</v>
      </c>
      <c r="G13" s="310">
        <v>0</v>
      </c>
      <c r="H13" s="310">
        <v>0</v>
      </c>
      <c r="I13" s="310">
        <v>0</v>
      </c>
      <c r="J13" s="310">
        <v>0</v>
      </c>
      <c r="K13" s="310">
        <v>0</v>
      </c>
      <c r="L13" s="310">
        <v>0</v>
      </c>
      <c r="M13" s="311">
        <v>0</v>
      </c>
      <c r="N13" s="355"/>
    </row>
    <row r="14" spans="1:14">
      <c r="A14" s="36" t="s">
        <v>286</v>
      </c>
      <c r="B14" s="264"/>
      <c r="C14" s="37" t="s">
        <v>287</v>
      </c>
      <c r="D14" s="39"/>
      <c r="E14" s="263">
        <v>0</v>
      </c>
      <c r="F14" s="309">
        <f>SUM(G14:M14)</f>
        <v>0</v>
      </c>
      <c r="G14" s="310">
        <v>0</v>
      </c>
      <c r="H14" s="310">
        <v>0</v>
      </c>
      <c r="I14" s="310">
        <v>0</v>
      </c>
      <c r="J14" s="310">
        <v>0</v>
      </c>
      <c r="K14" s="310">
        <v>0</v>
      </c>
      <c r="L14" s="310">
        <v>0</v>
      </c>
      <c r="M14" s="311">
        <v>0</v>
      </c>
      <c r="N14" s="355"/>
    </row>
    <row r="15" spans="1:14">
      <c r="A15" s="36" t="s">
        <v>286</v>
      </c>
      <c r="B15" s="265"/>
      <c r="C15" s="37" t="s">
        <v>287</v>
      </c>
      <c r="D15" s="39"/>
      <c r="E15" s="263">
        <v>0</v>
      </c>
      <c r="F15" s="309">
        <f>SUM(G15:M15)</f>
        <v>0</v>
      </c>
      <c r="G15" s="310">
        <v>0</v>
      </c>
      <c r="H15" s="310">
        <v>0</v>
      </c>
      <c r="I15" s="310">
        <v>0</v>
      </c>
      <c r="J15" s="310">
        <v>0</v>
      </c>
      <c r="K15" s="310">
        <v>0</v>
      </c>
      <c r="L15" s="310">
        <v>0</v>
      </c>
      <c r="M15" s="311">
        <v>0</v>
      </c>
      <c r="N15" s="355"/>
    </row>
    <row r="16" spans="1:14">
      <c r="A16" s="40" t="s">
        <v>288</v>
      </c>
      <c r="B16" s="265"/>
      <c r="C16" s="266"/>
      <c r="D16" s="41">
        <f t="shared" ref="D16:M16" si="0">SUM(D7:D15)</f>
        <v>0</v>
      </c>
      <c r="E16" s="42">
        <f t="shared" si="0"/>
        <v>0</v>
      </c>
      <c r="F16" s="43">
        <f t="shared" si="0"/>
        <v>0</v>
      </c>
      <c r="G16" s="43">
        <f t="shared" si="0"/>
        <v>0</v>
      </c>
      <c r="H16" s="43">
        <f t="shared" si="0"/>
        <v>0</v>
      </c>
      <c r="I16" s="43">
        <f t="shared" si="0"/>
        <v>0</v>
      </c>
      <c r="J16" s="43">
        <f t="shared" si="0"/>
        <v>0</v>
      </c>
      <c r="K16" s="43">
        <f t="shared" si="0"/>
        <v>0</v>
      </c>
      <c r="L16" s="43">
        <f t="shared" si="0"/>
        <v>0</v>
      </c>
      <c r="M16" s="43">
        <f t="shared" si="0"/>
        <v>0</v>
      </c>
      <c r="N16" s="254"/>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v>0</v>
      </c>
      <c r="G18" s="310">
        <v>0</v>
      </c>
      <c r="H18" s="310">
        <v>0</v>
      </c>
      <c r="I18" s="310">
        <v>0</v>
      </c>
      <c r="J18" s="310">
        <v>0</v>
      </c>
      <c r="K18" s="310">
        <v>0</v>
      </c>
      <c r="L18" s="310">
        <v>0</v>
      </c>
      <c r="M18" s="311">
        <v>0</v>
      </c>
      <c r="N18" s="327"/>
    </row>
    <row r="19" spans="1:14">
      <c r="A19" s="264" t="s">
        <v>355</v>
      </c>
      <c r="B19" s="264"/>
      <c r="C19" s="44">
        <v>253</v>
      </c>
      <c r="D19" s="45"/>
      <c r="E19" s="263">
        <v>0</v>
      </c>
      <c r="F19" s="357">
        <v>0</v>
      </c>
      <c r="G19" s="310">
        <v>0</v>
      </c>
      <c r="H19" s="310">
        <v>0</v>
      </c>
      <c r="I19" s="310">
        <v>0</v>
      </c>
      <c r="J19" s="310">
        <v>0</v>
      </c>
      <c r="K19" s="310">
        <v>0</v>
      </c>
      <c r="L19" s="310">
        <v>0</v>
      </c>
      <c r="M19" s="311">
        <v>0</v>
      </c>
      <c r="N19" s="326"/>
    </row>
    <row r="20" spans="1:14">
      <c r="A20" s="264" t="s">
        <v>355</v>
      </c>
      <c r="B20" s="264"/>
      <c r="C20" s="44">
        <v>253</v>
      </c>
      <c r="D20" s="267"/>
      <c r="E20" s="263">
        <v>0</v>
      </c>
      <c r="F20" s="357">
        <v>0</v>
      </c>
      <c r="G20" s="310">
        <v>0</v>
      </c>
      <c r="H20" s="310">
        <v>0</v>
      </c>
      <c r="I20" s="310">
        <v>0</v>
      </c>
      <c r="J20" s="310">
        <v>0</v>
      </c>
      <c r="K20" s="310">
        <v>0</v>
      </c>
      <c r="L20" s="310">
        <v>0</v>
      </c>
      <c r="M20" s="311">
        <v>0</v>
      </c>
      <c r="N20" s="355"/>
    </row>
    <row r="21" spans="1:14" s="7" customFormat="1">
      <c r="A21" s="264" t="s">
        <v>355</v>
      </c>
      <c r="B21" s="264"/>
      <c r="C21" s="44">
        <v>253</v>
      </c>
      <c r="D21" s="267"/>
      <c r="E21" s="263">
        <v>0</v>
      </c>
      <c r="F21" s="357">
        <v>0</v>
      </c>
      <c r="G21" s="310">
        <v>0</v>
      </c>
      <c r="H21" s="310">
        <v>0</v>
      </c>
      <c r="I21" s="310">
        <v>0</v>
      </c>
      <c r="J21" s="310">
        <v>0</v>
      </c>
      <c r="K21" s="310">
        <v>0</v>
      </c>
      <c r="L21" s="310">
        <v>0</v>
      </c>
      <c r="M21" s="311">
        <v>0</v>
      </c>
      <c r="N21" s="326"/>
    </row>
    <row r="22" spans="1:14">
      <c r="A22" s="40" t="s">
        <v>294</v>
      </c>
      <c r="B22" s="265"/>
      <c r="C22" s="266"/>
      <c r="D22" s="267">
        <f>SUM(D18:D21)</f>
        <v>0</v>
      </c>
      <c r="E22" s="42">
        <f>SUM(E18:E21)</f>
        <v>0</v>
      </c>
      <c r="F22" s="43">
        <f>SUM(F18:F21)</f>
        <v>0</v>
      </c>
      <c r="G22" s="43">
        <f t="shared" ref="G22:M22" si="1">SUM(G18:G21)</f>
        <v>0</v>
      </c>
      <c r="H22" s="43">
        <f t="shared" si="1"/>
        <v>0</v>
      </c>
      <c r="I22" s="43">
        <f t="shared" si="1"/>
        <v>0</v>
      </c>
      <c r="J22" s="43">
        <f t="shared" si="1"/>
        <v>0</v>
      </c>
      <c r="K22" s="43">
        <f t="shared" si="1"/>
        <v>0</v>
      </c>
      <c r="L22" s="43">
        <f t="shared" si="1"/>
        <v>0</v>
      </c>
      <c r="M22" s="43">
        <f t="shared" si="1"/>
        <v>0</v>
      </c>
      <c r="N22" s="355"/>
    </row>
    <row r="23" spans="1:14" s="7"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c r="F24" s="309"/>
      <c r="G24" s="310">
        <v>0</v>
      </c>
      <c r="H24" s="310">
        <v>0</v>
      </c>
      <c r="I24" s="310">
        <v>0</v>
      </c>
      <c r="J24" s="310">
        <v>0</v>
      </c>
      <c r="K24" s="310">
        <v>0</v>
      </c>
      <c r="L24" s="310">
        <v>0</v>
      </c>
      <c r="M24" s="311">
        <v>0</v>
      </c>
      <c r="N24" s="325"/>
    </row>
    <row r="25" spans="1:14">
      <c r="A25" s="264" t="s">
        <v>298</v>
      </c>
      <c r="B25" s="36"/>
      <c r="C25" s="44" t="s">
        <v>299</v>
      </c>
      <c r="D25" s="45"/>
      <c r="E25" s="263"/>
      <c r="F25" s="309"/>
      <c r="G25" s="310">
        <v>0</v>
      </c>
      <c r="H25" s="310">
        <v>0</v>
      </c>
      <c r="I25" s="310">
        <v>0</v>
      </c>
      <c r="J25" s="310">
        <v>0</v>
      </c>
      <c r="K25" s="310">
        <v>0</v>
      </c>
      <c r="L25" s="310">
        <v>0</v>
      </c>
      <c r="M25" s="311">
        <v>0</v>
      </c>
      <c r="N25" s="355"/>
    </row>
    <row r="26" spans="1:14">
      <c r="A26" s="264" t="s">
        <v>300</v>
      </c>
      <c r="B26" s="36"/>
      <c r="C26" s="44" t="s">
        <v>301</v>
      </c>
      <c r="D26" s="45"/>
      <c r="E26" s="263"/>
      <c r="F26" s="309"/>
      <c r="G26" s="310">
        <v>0</v>
      </c>
      <c r="H26" s="310">
        <v>0</v>
      </c>
      <c r="I26" s="310">
        <v>0</v>
      </c>
      <c r="J26" s="310">
        <v>0</v>
      </c>
      <c r="K26" s="310">
        <v>0</v>
      </c>
      <c r="L26" s="310">
        <v>0</v>
      </c>
      <c r="M26" s="311">
        <v>0</v>
      </c>
      <c r="N26" s="355"/>
    </row>
    <row r="27" spans="1:14">
      <c r="A27" s="264" t="s">
        <v>302</v>
      </c>
      <c r="B27" s="36"/>
      <c r="C27" s="44" t="s">
        <v>303</v>
      </c>
      <c r="D27" s="45"/>
      <c r="E27" s="263"/>
      <c r="F27" s="309"/>
      <c r="G27" s="310">
        <v>0</v>
      </c>
      <c r="H27" s="310">
        <v>0</v>
      </c>
      <c r="I27" s="310">
        <v>0</v>
      </c>
      <c r="J27" s="310">
        <v>0</v>
      </c>
      <c r="K27" s="310">
        <v>0</v>
      </c>
      <c r="L27" s="310">
        <v>0</v>
      </c>
      <c r="M27" s="311">
        <v>0</v>
      </c>
      <c r="N27" s="355"/>
    </row>
    <row r="28" spans="1:14" s="321" customFormat="1" ht="29.7">
      <c r="A28" s="73" t="s">
        <v>627</v>
      </c>
      <c r="B28" s="36"/>
      <c r="C28" s="44">
        <v>252</v>
      </c>
      <c r="D28" s="45"/>
      <c r="E28" s="263">
        <v>1113</v>
      </c>
      <c r="F28" s="309">
        <f>SUM(G28:M28)</f>
        <v>1274</v>
      </c>
      <c r="G28" s="310">
        <v>0</v>
      </c>
      <c r="H28" s="310">
        <v>1274</v>
      </c>
      <c r="I28" s="310">
        <v>0</v>
      </c>
      <c r="J28" s="310">
        <v>0</v>
      </c>
      <c r="K28" s="310">
        <v>0</v>
      </c>
      <c r="L28" s="310">
        <v>0</v>
      </c>
      <c r="M28" s="311">
        <v>0</v>
      </c>
      <c r="N28" s="327" t="s">
        <v>628</v>
      </c>
    </row>
    <row r="29" spans="1:14" ht="59.4">
      <c r="A29" s="264" t="s">
        <v>629</v>
      </c>
      <c r="B29" s="36"/>
      <c r="C29" s="44">
        <v>252</v>
      </c>
      <c r="D29" s="45"/>
      <c r="E29" s="263">
        <v>3242</v>
      </c>
      <c r="F29" s="309">
        <f>SUM(G29:M29)</f>
        <v>2490</v>
      </c>
      <c r="G29" s="310">
        <v>0</v>
      </c>
      <c r="H29" s="310">
        <v>2490</v>
      </c>
      <c r="I29" s="310">
        <v>0</v>
      </c>
      <c r="J29" s="310">
        <v>0</v>
      </c>
      <c r="K29" s="310">
        <v>0</v>
      </c>
      <c r="L29" s="310">
        <v>0</v>
      </c>
      <c r="M29" s="311">
        <v>0</v>
      </c>
      <c r="N29" s="325" t="s">
        <v>630</v>
      </c>
    </row>
    <row r="30" spans="1:14">
      <c r="A30" s="264" t="s">
        <v>314</v>
      </c>
      <c r="B30" s="36"/>
      <c r="C30" s="44">
        <v>252</v>
      </c>
      <c r="D30" s="45"/>
      <c r="E30" s="263"/>
      <c r="F30" s="309"/>
      <c r="G30" s="310">
        <v>0</v>
      </c>
      <c r="H30" s="310">
        <v>0</v>
      </c>
      <c r="I30" s="310">
        <v>0</v>
      </c>
      <c r="J30" s="310">
        <v>0</v>
      </c>
      <c r="K30" s="310">
        <v>0</v>
      </c>
      <c r="L30" s="310">
        <v>0</v>
      </c>
      <c r="M30" s="311">
        <v>0</v>
      </c>
      <c r="N30" s="355"/>
    </row>
    <row r="31" spans="1:14">
      <c r="A31" s="264" t="s">
        <v>315</v>
      </c>
      <c r="B31" s="36"/>
      <c r="C31" s="44">
        <v>253</v>
      </c>
      <c r="D31" s="264"/>
      <c r="E31" s="263"/>
      <c r="F31" s="309"/>
      <c r="G31" s="310">
        <v>0</v>
      </c>
      <c r="H31" s="310">
        <v>0</v>
      </c>
      <c r="I31" s="310">
        <v>0</v>
      </c>
      <c r="J31" s="310">
        <v>0</v>
      </c>
      <c r="K31" s="310">
        <v>0</v>
      </c>
      <c r="L31" s="310">
        <v>0</v>
      </c>
      <c r="M31" s="311">
        <v>0</v>
      </c>
      <c r="N31" s="355"/>
    </row>
    <row r="32" spans="1:14">
      <c r="A32" s="264" t="s">
        <v>316</v>
      </c>
      <c r="B32" s="36"/>
      <c r="C32" s="44">
        <v>255</v>
      </c>
      <c r="D32" s="264"/>
      <c r="E32" s="263"/>
      <c r="F32" s="309"/>
      <c r="G32" s="310">
        <v>0</v>
      </c>
      <c r="H32" s="310">
        <v>0</v>
      </c>
      <c r="I32" s="310">
        <v>0</v>
      </c>
      <c r="J32" s="310">
        <v>0</v>
      </c>
      <c r="K32" s="310">
        <v>0</v>
      </c>
      <c r="L32" s="310">
        <v>0</v>
      </c>
      <c r="M32" s="311">
        <v>0</v>
      </c>
      <c r="N32" s="355"/>
    </row>
    <row r="33" spans="1:14">
      <c r="A33" s="264" t="s">
        <v>317</v>
      </c>
      <c r="B33" s="36"/>
      <c r="C33" s="44">
        <v>256</v>
      </c>
      <c r="D33" s="264"/>
      <c r="E33" s="263"/>
      <c r="F33" s="309"/>
      <c r="G33" s="310">
        <v>0</v>
      </c>
      <c r="H33" s="310">
        <v>0</v>
      </c>
      <c r="I33" s="310">
        <v>0</v>
      </c>
      <c r="J33" s="310">
        <v>0</v>
      </c>
      <c r="K33" s="310">
        <v>0</v>
      </c>
      <c r="L33" s="310">
        <v>0</v>
      </c>
      <c r="M33" s="311">
        <v>0</v>
      </c>
      <c r="N33" s="355"/>
    </row>
    <row r="34" spans="1:14">
      <c r="A34" s="92" t="s">
        <v>318</v>
      </c>
      <c r="B34" s="36"/>
      <c r="C34" s="44">
        <v>257</v>
      </c>
      <c r="D34" s="264"/>
      <c r="E34" s="263"/>
      <c r="F34" s="309"/>
      <c r="G34" s="310">
        <v>0</v>
      </c>
      <c r="H34" s="310"/>
      <c r="I34" s="310">
        <v>0</v>
      </c>
      <c r="J34" s="310">
        <v>0</v>
      </c>
      <c r="K34" s="310">
        <v>0</v>
      </c>
      <c r="L34" s="310">
        <v>0</v>
      </c>
      <c r="M34" s="311">
        <v>0</v>
      </c>
      <c r="N34" s="355"/>
    </row>
    <row r="35" spans="1:14">
      <c r="A35" s="264" t="s">
        <v>319</v>
      </c>
      <c r="B35" s="36"/>
      <c r="C35" s="44" t="s">
        <v>320</v>
      </c>
      <c r="D35" s="264"/>
      <c r="E35" s="263"/>
      <c r="F35" s="309"/>
      <c r="G35" s="310">
        <v>0</v>
      </c>
      <c r="H35" s="310">
        <v>0</v>
      </c>
      <c r="I35" s="310">
        <v>0</v>
      </c>
      <c r="J35" s="310">
        <v>0</v>
      </c>
      <c r="K35" s="310">
        <v>0</v>
      </c>
      <c r="L35" s="310">
        <v>0</v>
      </c>
      <c r="M35" s="311">
        <v>0</v>
      </c>
      <c r="N35" s="355"/>
    </row>
    <row r="36" spans="1:14" s="381" customFormat="1">
      <c r="A36" s="265" t="s">
        <v>321</v>
      </c>
      <c r="B36" s="36"/>
      <c r="C36" s="266" t="s">
        <v>322</v>
      </c>
      <c r="D36" s="265"/>
      <c r="E36" s="263"/>
      <c r="F36" s="309"/>
      <c r="G36" s="310">
        <v>0</v>
      </c>
      <c r="H36" s="310">
        <v>0</v>
      </c>
      <c r="I36" s="310">
        <v>0</v>
      </c>
      <c r="J36" s="310">
        <v>0</v>
      </c>
      <c r="K36" s="310">
        <v>0</v>
      </c>
      <c r="L36" s="310">
        <v>0</v>
      </c>
      <c r="M36" s="311">
        <v>0</v>
      </c>
      <c r="N36" s="355"/>
    </row>
    <row r="37" spans="1:14">
      <c r="A37" s="265" t="s">
        <v>323</v>
      </c>
      <c r="B37" s="36"/>
      <c r="C37" s="44">
        <v>252</v>
      </c>
      <c r="D37" s="265"/>
      <c r="E37" s="263">
        <v>0</v>
      </c>
      <c r="F37" s="309">
        <v>0</v>
      </c>
      <c r="G37" s="310">
        <v>0</v>
      </c>
      <c r="H37" s="310">
        <v>0</v>
      </c>
      <c r="I37" s="310">
        <v>0</v>
      </c>
      <c r="J37" s="310">
        <v>0</v>
      </c>
      <c r="K37" s="310">
        <v>0</v>
      </c>
      <c r="L37" s="310">
        <v>0</v>
      </c>
      <c r="M37" s="311">
        <v>0</v>
      </c>
      <c r="N37" s="325"/>
    </row>
    <row r="38" spans="1:14">
      <c r="A38" s="40" t="s">
        <v>326</v>
      </c>
      <c r="B38" s="265"/>
      <c r="C38" s="266"/>
      <c r="D38" s="267"/>
      <c r="E38" s="42">
        <f>SUM(E29:E37)</f>
        <v>3242</v>
      </c>
      <c r="F38" s="43">
        <f t="shared" ref="F38:M38" si="2">SUM(F24:F27,F29:F37)</f>
        <v>2490</v>
      </c>
      <c r="G38" s="43">
        <f t="shared" si="2"/>
        <v>0</v>
      </c>
      <c r="H38" s="43">
        <f t="shared" si="2"/>
        <v>2490</v>
      </c>
      <c r="I38" s="43">
        <f t="shared" si="2"/>
        <v>0</v>
      </c>
      <c r="J38" s="43">
        <f t="shared" si="2"/>
        <v>0</v>
      </c>
      <c r="K38" s="43">
        <f t="shared" si="2"/>
        <v>0</v>
      </c>
      <c r="L38" s="43">
        <f t="shared" si="2"/>
        <v>0</v>
      </c>
      <c r="M38" s="43">
        <f t="shared" si="2"/>
        <v>0</v>
      </c>
      <c r="N38" s="355"/>
    </row>
    <row r="39" spans="1:14" s="151" customFormat="1" ht="59.4">
      <c r="A39" s="40" t="s">
        <v>327</v>
      </c>
      <c r="B39" s="51"/>
      <c r="C39" s="149"/>
      <c r="D39" s="267"/>
      <c r="E39" s="241">
        <v>0</v>
      </c>
      <c r="F39" s="240">
        <f>SUM(G39:L39)</f>
        <v>745</v>
      </c>
      <c r="G39" s="240"/>
      <c r="H39" s="240">
        <v>745</v>
      </c>
      <c r="I39" s="240"/>
      <c r="J39" s="240"/>
      <c r="K39" s="240"/>
      <c r="L39" s="240"/>
      <c r="M39" s="240"/>
      <c r="N39" s="325" t="s">
        <v>631</v>
      </c>
    </row>
    <row r="40" spans="1:14">
      <c r="A40" s="40" t="s">
        <v>328</v>
      </c>
      <c r="B40" s="46"/>
      <c r="C40" s="47"/>
      <c r="D40" s="48">
        <f>D38+D22+D16</f>
        <v>0</v>
      </c>
      <c r="E40" s="250">
        <f t="shared" ref="E40:M40" si="3">E38+E22+E16-E39</f>
        <v>3242</v>
      </c>
      <c r="F40" s="17">
        <f t="shared" si="3"/>
        <v>1745</v>
      </c>
      <c r="G40" s="17">
        <f t="shared" si="3"/>
        <v>0</v>
      </c>
      <c r="H40" s="17">
        <f t="shared" si="3"/>
        <v>1745</v>
      </c>
      <c r="I40" s="17">
        <f t="shared" si="3"/>
        <v>0</v>
      </c>
      <c r="J40" s="17">
        <f t="shared" si="3"/>
        <v>0</v>
      </c>
      <c r="K40" s="17">
        <f t="shared" si="3"/>
        <v>0</v>
      </c>
      <c r="L40" s="17">
        <f t="shared" si="3"/>
        <v>0</v>
      </c>
      <c r="M40" s="17">
        <f t="shared" si="3"/>
        <v>0</v>
      </c>
      <c r="N40" s="353"/>
    </row>
    <row r="42" spans="1:14">
      <c r="A42" s="780" t="s">
        <v>569</v>
      </c>
      <c r="B42" s="781"/>
      <c r="C42" s="781"/>
      <c r="D42" s="781"/>
      <c r="E42" s="782"/>
      <c r="F42" s="309" t="s">
        <v>570</v>
      </c>
      <c r="G42" s="310" t="s">
        <v>0</v>
      </c>
      <c r="H42" s="310" t="s">
        <v>1</v>
      </c>
      <c r="I42" s="310" t="s">
        <v>2</v>
      </c>
      <c r="J42" s="310" t="s">
        <v>3</v>
      </c>
      <c r="K42" s="310" t="s">
        <v>4</v>
      </c>
      <c r="L42" s="310" t="s">
        <v>34</v>
      </c>
      <c r="M42" s="311"/>
      <c r="N42" s="355" t="s">
        <v>284</v>
      </c>
    </row>
    <row r="43" spans="1:14">
      <c r="A43" s="783" t="s">
        <v>571</v>
      </c>
      <c r="B43" s="784"/>
      <c r="C43" s="784"/>
      <c r="D43" s="785"/>
      <c r="E43" s="91"/>
      <c r="F43" s="88"/>
      <c r="G43" s="90">
        <v>0.24840000000000001</v>
      </c>
      <c r="H43" s="90">
        <v>0.38200000000000001</v>
      </c>
      <c r="I43" s="90">
        <v>0.13769999999999999</v>
      </c>
      <c r="J43" s="90">
        <v>0.23169999999999999</v>
      </c>
      <c r="K43" s="90">
        <v>0</v>
      </c>
      <c r="L43" s="90"/>
      <c r="M43" s="88"/>
      <c r="N43" s="89"/>
    </row>
    <row r="44" spans="1:14" ht="15.6" thickBot="1">
      <c r="A44" s="774" t="s">
        <v>572</v>
      </c>
      <c r="B44" s="775"/>
      <c r="C44" s="775"/>
      <c r="D44" s="776"/>
      <c r="E44" s="83"/>
      <c r="F44" s="84">
        <f>F40</f>
        <v>1745</v>
      </c>
      <c r="G44" s="85">
        <f>$F44*G43</f>
        <v>433.45800000000003</v>
      </c>
      <c r="H44" s="85">
        <f t="shared" ref="H44:M44" si="4">$F44*H43</f>
        <v>666.59</v>
      </c>
      <c r="I44" s="85">
        <f t="shared" si="4"/>
        <v>240.28649999999999</v>
      </c>
      <c r="J44" s="85">
        <f t="shared" si="4"/>
        <v>404.31649999999996</v>
      </c>
      <c r="K44" s="85">
        <f t="shared" si="4"/>
        <v>0</v>
      </c>
      <c r="L44" s="85">
        <f t="shared" si="4"/>
        <v>0</v>
      </c>
      <c r="M44" s="86">
        <f t="shared" si="4"/>
        <v>0</v>
      </c>
      <c r="N44" s="431" t="s">
        <v>632</v>
      </c>
    </row>
    <row r="45" spans="1:14">
      <c r="A45" s="777" t="s">
        <v>573</v>
      </c>
      <c r="B45" s="778"/>
      <c r="C45" s="778"/>
      <c r="D45" s="779"/>
      <c r="E45" s="78"/>
      <c r="F45" s="79"/>
      <c r="G45" s="80">
        <f t="shared" ref="G45:M45" si="5">G40-G44</f>
        <v>-433.45800000000003</v>
      </c>
      <c r="H45" s="80">
        <f t="shared" si="5"/>
        <v>1078.4099999999999</v>
      </c>
      <c r="I45" s="80">
        <f t="shared" si="5"/>
        <v>-240.28649999999999</v>
      </c>
      <c r="J45" s="80">
        <f t="shared" si="5"/>
        <v>-404.31649999999996</v>
      </c>
      <c r="K45" s="80">
        <f t="shared" si="5"/>
        <v>0</v>
      </c>
      <c r="L45" s="80">
        <f t="shared" si="5"/>
        <v>0</v>
      </c>
      <c r="M45" s="81">
        <f t="shared" si="5"/>
        <v>0</v>
      </c>
      <c r="N45" s="82"/>
    </row>
    <row r="47" spans="1:14" s="381" customFormat="1">
      <c r="C47" s="687"/>
      <c r="E47" s="501" t="s">
        <v>359</v>
      </c>
      <c r="F47" s="501" t="s">
        <v>393</v>
      </c>
      <c r="G47" s="786" t="s">
        <v>633</v>
      </c>
      <c r="H47" s="786"/>
      <c r="I47" s="786"/>
      <c r="J47" s="786"/>
      <c r="N47" s="565"/>
    </row>
    <row r="48" spans="1:14" s="381" customFormat="1">
      <c r="B48" s="381" t="s">
        <v>634</v>
      </c>
      <c r="C48" s="687"/>
      <c r="E48" s="252">
        <f>+E29/(E28+E29)</f>
        <v>0.7444316877152698</v>
      </c>
      <c r="F48" s="252">
        <f>+F29/(F28+F29)</f>
        <v>0.66153028692879912</v>
      </c>
      <c r="G48" s="289" t="s">
        <v>635</v>
      </c>
      <c r="H48" s="262">
        <f>+H29-E29</f>
        <v>-752</v>
      </c>
      <c r="I48" s="289" t="s">
        <v>335</v>
      </c>
      <c r="J48" s="252">
        <f>(+H29-E29)/E29</f>
        <v>-0.23195558297347316</v>
      </c>
      <c r="N48" s="565"/>
    </row>
    <row r="49" spans="1:14" s="381" customFormat="1">
      <c r="B49" s="381" t="s">
        <v>636</v>
      </c>
      <c r="C49" s="687"/>
      <c r="E49" s="252">
        <f>+E28/(E28+E29)</f>
        <v>0.2555683122847302</v>
      </c>
      <c r="F49" s="252">
        <f>+F28/(F28+F29)</f>
        <v>0.33846971307120083</v>
      </c>
      <c r="H49" s="262">
        <f>+H28-E28</f>
        <v>161</v>
      </c>
      <c r="J49" s="252">
        <f>(+H28-E28)/E28</f>
        <v>0.14465408805031446</v>
      </c>
      <c r="N49" s="565"/>
    </row>
    <row r="50" spans="1:14" s="381" customFormat="1">
      <c r="C50" s="687"/>
      <c r="N50" s="565"/>
    </row>
    <row r="51" spans="1:14" s="381" customFormat="1">
      <c r="B51" s="381" t="s">
        <v>5</v>
      </c>
      <c r="C51" s="687"/>
      <c r="E51" s="515">
        <f>SUM(E48:E50)</f>
        <v>1</v>
      </c>
      <c r="F51" s="515">
        <f>SUM(F48:F50)</f>
        <v>1</v>
      </c>
      <c r="H51" s="262">
        <f>SUM(H48:H50)</f>
        <v>-591</v>
      </c>
      <c r="J51" s="257">
        <f>AVERAGE(J48:J49)</f>
        <v>-4.3650747461579348E-2</v>
      </c>
      <c r="N51" s="565"/>
    </row>
    <row r="52" spans="1:14" s="381" customFormat="1">
      <c r="C52" s="687"/>
      <c r="D52" s="289"/>
      <c r="N52" s="565"/>
    </row>
    <row r="53" spans="1:14" s="381" customFormat="1">
      <c r="C53" s="687"/>
      <c r="N53" s="565"/>
    </row>
    <row r="54" spans="1:14" s="381" customFormat="1">
      <c r="B54" s="381" t="s">
        <v>637</v>
      </c>
      <c r="C54" s="687"/>
      <c r="F54" s="381" t="s">
        <v>638</v>
      </c>
      <c r="G54" s="262">
        <f>+G44</f>
        <v>433.45800000000003</v>
      </c>
      <c r="H54" s="262">
        <f>+H44</f>
        <v>666.59</v>
      </c>
      <c r="I54" s="262">
        <f>+I44</f>
        <v>240.28649999999999</v>
      </c>
      <c r="J54" s="262">
        <f>+J44</f>
        <v>404.31649999999996</v>
      </c>
      <c r="N54" s="565"/>
    </row>
    <row r="55" spans="1:14" s="381" customFormat="1">
      <c r="C55" s="687"/>
      <c r="F55" s="381" t="s">
        <v>359</v>
      </c>
      <c r="G55" s="262">
        <v>691.84280000000001</v>
      </c>
      <c r="H55" s="262">
        <v>1395.0326</v>
      </c>
      <c r="I55" s="262">
        <v>485.00320000000005</v>
      </c>
      <c r="J55" s="262">
        <v>670.12139999999999</v>
      </c>
      <c r="N55" s="565"/>
    </row>
    <row r="56" spans="1:14" s="381" customFormat="1">
      <c r="C56" s="687"/>
      <c r="N56" s="565"/>
    </row>
    <row r="57" spans="1:14" s="381" customFormat="1">
      <c r="C57" s="687"/>
      <c r="F57" s="289" t="s">
        <v>639</v>
      </c>
      <c r="G57" s="262">
        <f>+G54-G55</f>
        <v>-258.38479999999998</v>
      </c>
      <c r="H57" s="262">
        <f>+H54-H55</f>
        <v>-728.44259999999997</v>
      </c>
      <c r="I57" s="262">
        <f>+I54-I55</f>
        <v>-244.71670000000006</v>
      </c>
      <c r="J57" s="262">
        <f>+J54-J55</f>
        <v>-265.80490000000003</v>
      </c>
      <c r="N57" s="565"/>
    </row>
    <row r="58" spans="1:14" s="381" customFormat="1">
      <c r="C58" s="687"/>
      <c r="F58" s="289" t="s">
        <v>640</v>
      </c>
      <c r="G58" s="497">
        <f>+G57/G55</f>
        <v>-0.37347328034634453</v>
      </c>
      <c r="H58" s="497">
        <f>+H57/H55</f>
        <v>-0.52216887261272604</v>
      </c>
      <c r="I58" s="497">
        <f>+I57/I55</f>
        <v>-0.50456718636083231</v>
      </c>
      <c r="J58" s="497">
        <f>+J57/J55</f>
        <v>-0.39665186039425099</v>
      </c>
      <c r="N58" s="565"/>
    </row>
    <row r="60" spans="1:14" s="381" customFormat="1" ht="15.6" thickBot="1">
      <c r="A60" s="31"/>
      <c r="B60" s="31"/>
      <c r="C60" s="32"/>
      <c r="D60" s="31"/>
      <c r="E60" s="31"/>
      <c r="F60" s="31"/>
      <c r="G60" s="31"/>
      <c r="H60" s="31"/>
      <c r="I60" s="31"/>
      <c r="J60" s="31"/>
      <c r="K60" s="31"/>
      <c r="L60" s="31"/>
      <c r="M60" s="31"/>
      <c r="N60" s="562"/>
    </row>
    <row r="61" spans="1:14" s="381" customFormat="1" ht="15.6">
      <c r="A61" s="764" t="s">
        <v>330</v>
      </c>
      <c r="B61" s="765"/>
      <c r="C61" s="765"/>
      <c r="D61" s="765"/>
      <c r="E61" s="765"/>
      <c r="F61" s="765"/>
      <c r="G61" s="581"/>
      <c r="H61" s="31"/>
      <c r="I61" s="31"/>
      <c r="J61" s="31"/>
      <c r="K61" s="31"/>
      <c r="L61" s="31"/>
      <c r="M61" s="31"/>
      <c r="N61" s="562"/>
    </row>
    <row r="62" spans="1:14" s="381" customFormat="1" ht="15.6">
      <c r="A62" s="738"/>
      <c r="B62" s="739"/>
      <c r="C62" s="739"/>
      <c r="D62" s="739"/>
      <c r="E62" s="739"/>
      <c r="F62" s="739"/>
      <c r="G62" s="582"/>
      <c r="H62" s="31"/>
      <c r="I62" s="31"/>
      <c r="J62" s="31"/>
      <c r="K62" s="31"/>
      <c r="L62" s="31"/>
      <c r="M62" s="31"/>
      <c r="N62" s="562"/>
    </row>
    <row r="63" spans="1:14" s="381" customFormat="1">
      <c r="A63" s="740" t="s">
        <v>331</v>
      </c>
      <c r="B63" s="741"/>
      <c r="C63" s="583"/>
      <c r="D63" s="583"/>
      <c r="E63" s="583"/>
      <c r="F63" s="583"/>
      <c r="G63" s="582"/>
      <c r="H63" s="31"/>
      <c r="I63" s="31"/>
      <c r="J63" s="31"/>
      <c r="K63" s="31"/>
      <c r="L63" s="31"/>
      <c r="M63" s="31"/>
      <c r="N63" s="562"/>
    </row>
    <row r="64" spans="1:14" s="381" customFormat="1">
      <c r="A64" s="584" t="s">
        <v>361</v>
      </c>
      <c r="B64" s="585">
        <f>E40</f>
        <v>3242</v>
      </c>
      <c r="C64" s="586"/>
      <c r="D64" s="587"/>
      <c r="E64" s="587"/>
      <c r="F64" s="587"/>
      <c r="G64" s="582"/>
      <c r="H64" s="31"/>
      <c r="I64" s="31"/>
      <c r="J64" s="31"/>
      <c r="K64" s="31"/>
      <c r="L64" s="31"/>
      <c r="M64" s="31"/>
      <c r="N64" s="562"/>
    </row>
    <row r="65" spans="1:14" s="381" customFormat="1">
      <c r="A65" s="588" t="s">
        <v>362</v>
      </c>
      <c r="B65" s="589">
        <f>F40</f>
        <v>1745</v>
      </c>
      <c r="C65" s="586"/>
      <c r="D65" s="587"/>
      <c r="E65" s="587"/>
      <c r="F65" s="587"/>
      <c r="G65" s="582"/>
      <c r="H65" s="31"/>
      <c r="I65" s="31"/>
      <c r="J65" s="31"/>
      <c r="K65" s="31"/>
      <c r="L65" s="31"/>
      <c r="M65" s="31"/>
      <c r="N65" s="562"/>
    </row>
    <row r="66" spans="1:14" s="381" customFormat="1">
      <c r="A66" s="590" t="s">
        <v>334</v>
      </c>
      <c r="B66" s="591">
        <f>B65-B64</f>
        <v>-1497</v>
      </c>
      <c r="C66" s="586"/>
      <c r="D66" s="587"/>
      <c r="E66" s="587"/>
      <c r="F66" s="587"/>
      <c r="G66" s="582"/>
      <c r="H66" s="31"/>
      <c r="I66" s="31"/>
      <c r="J66" s="31"/>
      <c r="K66" s="31"/>
      <c r="L66" s="31"/>
      <c r="M66" s="31"/>
      <c r="N66" s="562"/>
    </row>
    <row r="67" spans="1:14" s="381" customFormat="1">
      <c r="A67" s="590" t="s">
        <v>335</v>
      </c>
      <c r="B67" s="592">
        <f>B66/B64</f>
        <v>-0.46175200493522517</v>
      </c>
      <c r="C67" s="586"/>
      <c r="D67" s="587"/>
      <c r="E67" s="587"/>
      <c r="F67" s="587"/>
      <c r="G67" s="582"/>
      <c r="H67" s="31"/>
      <c r="I67" s="31"/>
      <c r="J67" s="31"/>
      <c r="K67" s="31"/>
      <c r="L67" s="31"/>
      <c r="M67" s="31"/>
      <c r="N67" s="562"/>
    </row>
    <row r="68" spans="1:14" s="381" customFormat="1">
      <c r="A68" s="593"/>
      <c r="B68" s="587"/>
      <c r="C68" s="686"/>
      <c r="D68" s="587"/>
      <c r="E68" s="587"/>
      <c r="F68" s="587"/>
      <c r="G68" s="582"/>
      <c r="H68" s="31"/>
      <c r="I68" s="31"/>
      <c r="J68" s="31"/>
      <c r="K68" s="31"/>
      <c r="L68" s="31"/>
      <c r="M68" s="31"/>
      <c r="N68" s="562"/>
    </row>
    <row r="69" spans="1:14" s="381" customFormat="1">
      <c r="A69" s="731" t="s">
        <v>336</v>
      </c>
      <c r="B69" s="732"/>
      <c r="C69" s="732"/>
      <c r="D69" s="732"/>
      <c r="E69" s="732"/>
      <c r="F69" s="732"/>
      <c r="G69" s="582"/>
      <c r="H69" s="31"/>
      <c r="I69" s="31"/>
      <c r="J69" s="31"/>
      <c r="K69" s="31"/>
      <c r="L69" s="31"/>
      <c r="M69" s="31"/>
      <c r="N69" s="562"/>
    </row>
    <row r="70" spans="1:14" s="381" customFormat="1" ht="28.2" customHeight="1">
      <c r="A70" s="742" t="s">
        <v>641</v>
      </c>
      <c r="B70" s="743"/>
      <c r="C70" s="743"/>
      <c r="D70" s="743"/>
      <c r="E70" s="743"/>
      <c r="F70" s="744"/>
      <c r="G70" s="582"/>
      <c r="H70" s="31"/>
      <c r="I70" s="31"/>
      <c r="J70" s="31"/>
      <c r="K70" s="31"/>
      <c r="L70" s="31"/>
      <c r="M70" s="31"/>
      <c r="N70" s="562"/>
    </row>
    <row r="71" spans="1:14" s="381" customFormat="1">
      <c r="A71" s="594"/>
      <c r="B71" s="595"/>
      <c r="C71" s="595"/>
      <c r="D71" s="595"/>
      <c r="E71" s="595"/>
      <c r="F71" s="595"/>
      <c r="G71" s="582"/>
      <c r="H71" s="31"/>
      <c r="I71" s="31"/>
      <c r="J71" s="31"/>
      <c r="K71" s="31"/>
      <c r="L71" s="31"/>
      <c r="M71" s="31"/>
      <c r="N71" s="562"/>
    </row>
    <row r="72" spans="1:14" s="381" customFormat="1">
      <c r="A72" s="596" t="s">
        <v>337</v>
      </c>
      <c r="B72" s="587"/>
      <c r="C72" s="686"/>
      <c r="D72" s="587"/>
      <c r="E72" s="587"/>
      <c r="F72" s="587"/>
      <c r="G72" s="582"/>
      <c r="H72" s="31"/>
      <c r="I72" s="31"/>
      <c r="J72" s="31"/>
      <c r="K72" s="31"/>
      <c r="L72" s="31"/>
      <c r="M72" s="31"/>
      <c r="N72" s="562"/>
    </row>
    <row r="73" spans="1:14" s="381" customFormat="1" ht="33.049999999999997" customHeight="1">
      <c r="A73" s="742" t="s">
        <v>642</v>
      </c>
      <c r="B73" s="743"/>
      <c r="C73" s="743"/>
      <c r="D73" s="743"/>
      <c r="E73" s="743"/>
      <c r="F73" s="744"/>
      <c r="G73" s="582"/>
      <c r="H73" s="31"/>
      <c r="I73" s="31"/>
      <c r="J73" s="31"/>
      <c r="K73" s="31"/>
      <c r="L73" s="31"/>
      <c r="M73" s="31"/>
      <c r="N73" s="562"/>
    </row>
    <row r="74" spans="1:14" s="381" customFormat="1">
      <c r="A74" s="593"/>
      <c r="B74" s="587"/>
      <c r="C74" s="686"/>
      <c r="D74" s="587"/>
      <c r="E74" s="587"/>
      <c r="F74" s="587"/>
      <c r="G74" s="582"/>
      <c r="H74" s="31"/>
      <c r="I74" s="31"/>
      <c r="J74" s="31"/>
      <c r="K74" s="31"/>
      <c r="L74" s="31"/>
      <c r="M74" s="31"/>
      <c r="N74" s="562"/>
    </row>
    <row r="75" spans="1:14" s="381" customFormat="1">
      <c r="A75" s="731" t="s">
        <v>365</v>
      </c>
      <c r="B75" s="732"/>
      <c r="C75" s="732"/>
      <c r="D75" s="732"/>
      <c r="E75" s="732"/>
      <c r="F75" s="732"/>
      <c r="G75" s="582"/>
      <c r="H75" s="31"/>
      <c r="I75" s="31"/>
      <c r="J75" s="31"/>
      <c r="K75" s="31"/>
      <c r="L75" s="31"/>
      <c r="M75" s="31"/>
      <c r="N75" s="562"/>
    </row>
    <row r="76" spans="1:14" s="381" customFormat="1">
      <c r="A76" s="733" t="s">
        <v>461</v>
      </c>
      <c r="B76" s="734"/>
      <c r="C76" s="734"/>
      <c r="D76" s="734"/>
      <c r="E76" s="734"/>
      <c r="F76" s="734"/>
      <c r="G76" s="582"/>
      <c r="H76" s="31"/>
      <c r="I76" s="31"/>
      <c r="J76" s="31"/>
      <c r="K76" s="31"/>
      <c r="L76" s="31"/>
      <c r="M76" s="31"/>
      <c r="N76" s="562"/>
    </row>
    <row r="77" spans="1:14" s="381" customFormat="1" ht="39.75" customHeight="1">
      <c r="A77" s="742" t="s">
        <v>643</v>
      </c>
      <c r="B77" s="743"/>
      <c r="C77" s="743"/>
      <c r="D77" s="743"/>
      <c r="E77" s="743"/>
      <c r="F77" s="744"/>
      <c r="G77" s="582"/>
      <c r="H77" s="31"/>
      <c r="I77" s="31"/>
      <c r="J77" s="31"/>
      <c r="K77" s="31"/>
      <c r="L77" s="31"/>
      <c r="M77" s="31"/>
      <c r="N77" s="562"/>
    </row>
    <row r="78" spans="1:14" s="381" customFormat="1">
      <c r="A78" s="596"/>
      <c r="B78" s="587"/>
      <c r="C78" s="686"/>
      <c r="D78" s="587"/>
      <c r="E78" s="587"/>
      <c r="F78" s="587"/>
      <c r="G78" s="582"/>
      <c r="H78" s="31"/>
      <c r="I78" s="31"/>
      <c r="J78" s="31"/>
      <c r="K78" s="31"/>
      <c r="L78" s="31"/>
      <c r="M78" s="31"/>
      <c r="N78" s="562"/>
    </row>
    <row r="79" spans="1:14" s="381" customFormat="1">
      <c r="A79" s="731" t="s">
        <v>340</v>
      </c>
      <c r="B79" s="732"/>
      <c r="C79" s="732"/>
      <c r="D79" s="732"/>
      <c r="E79" s="732"/>
      <c r="F79" s="587"/>
      <c r="G79" s="582"/>
      <c r="H79" s="31"/>
      <c r="I79" s="31"/>
      <c r="J79" s="31"/>
      <c r="K79" s="31"/>
      <c r="L79" s="31"/>
      <c r="M79" s="31"/>
      <c r="N79" s="562"/>
    </row>
    <row r="80" spans="1:14" s="381" customFormat="1" ht="30.25" customHeight="1">
      <c r="A80" s="766" t="s">
        <v>463</v>
      </c>
      <c r="B80" s="729"/>
      <c r="C80" s="729"/>
      <c r="D80" s="729"/>
      <c r="E80" s="729"/>
      <c r="F80" s="730"/>
      <c r="G80" s="582"/>
      <c r="H80" s="31"/>
      <c r="I80" s="31"/>
      <c r="J80" s="31"/>
      <c r="K80" s="31"/>
      <c r="L80" s="31"/>
      <c r="M80" s="31"/>
      <c r="N80" s="562"/>
    </row>
    <row r="81" spans="1:14" s="381" customFormat="1">
      <c r="A81" s="593"/>
      <c r="B81" s="587"/>
      <c r="C81" s="686"/>
      <c r="D81" s="587"/>
      <c r="E81" s="587"/>
      <c r="F81" s="587"/>
      <c r="G81" s="582"/>
      <c r="H81" s="31"/>
      <c r="I81" s="31"/>
      <c r="J81" s="31"/>
      <c r="K81" s="31"/>
      <c r="L81" s="31"/>
      <c r="M81" s="31"/>
      <c r="N81" s="562"/>
    </row>
    <row r="82" spans="1:14" s="381" customFormat="1">
      <c r="A82" s="596" t="s">
        <v>341</v>
      </c>
      <c r="B82" s="587"/>
      <c r="C82" s="686"/>
      <c r="D82" s="587"/>
      <c r="E82" s="587"/>
      <c r="F82" s="587"/>
      <c r="G82" s="582"/>
      <c r="H82" s="31"/>
      <c r="I82" s="31"/>
      <c r="J82" s="31"/>
      <c r="K82" s="31"/>
      <c r="L82" s="31"/>
      <c r="M82" s="31"/>
      <c r="N82" s="562"/>
    </row>
    <row r="83" spans="1:14" s="381" customFormat="1">
      <c r="A83" s="597" t="s">
        <v>342</v>
      </c>
      <c r="B83" s="587"/>
      <c r="C83" s="686"/>
      <c r="D83" s="587"/>
      <c r="E83" s="587"/>
      <c r="F83" s="587"/>
      <c r="G83" s="582"/>
      <c r="H83" s="31"/>
      <c r="I83" s="31"/>
      <c r="J83" s="31"/>
      <c r="K83" s="31"/>
      <c r="L83" s="31"/>
      <c r="M83" s="31"/>
      <c r="N83" s="562"/>
    </row>
    <row r="84" spans="1:14" s="381" customFormat="1" ht="26.2" customHeight="1">
      <c r="A84" s="719" t="s">
        <v>368</v>
      </c>
      <c r="B84" s="720"/>
      <c r="C84" s="720"/>
      <c r="D84" s="720"/>
      <c r="E84" s="720"/>
      <c r="F84" s="720"/>
      <c r="G84" s="582"/>
      <c r="H84" s="31"/>
      <c r="I84" s="31"/>
      <c r="J84" s="31"/>
      <c r="K84" s="31"/>
      <c r="L84" s="31"/>
      <c r="M84" s="31"/>
      <c r="N84" s="562"/>
    </row>
    <row r="85" spans="1:14" s="381" customFormat="1" ht="26.2" customHeight="1">
      <c r="A85" s="742" t="s">
        <v>644</v>
      </c>
      <c r="B85" s="743"/>
      <c r="C85" s="743"/>
      <c r="D85" s="743"/>
      <c r="E85" s="743"/>
      <c r="F85" s="744"/>
      <c r="G85" s="582"/>
      <c r="H85" s="31"/>
      <c r="I85" s="31"/>
      <c r="J85" s="31"/>
      <c r="K85" s="31"/>
      <c r="L85" s="31"/>
      <c r="M85" s="31"/>
      <c r="N85" s="562"/>
    </row>
    <row r="86" spans="1:14" s="381" customFormat="1">
      <c r="A86" s="724"/>
      <c r="B86" s="725"/>
      <c r="C86" s="725"/>
      <c r="D86" s="725"/>
      <c r="E86" s="725"/>
      <c r="F86" s="725"/>
      <c r="G86" s="582"/>
      <c r="H86" s="31"/>
      <c r="I86" s="31"/>
      <c r="J86" s="31"/>
      <c r="K86" s="31"/>
      <c r="L86" s="31"/>
      <c r="M86" s="31"/>
      <c r="N86" s="562"/>
    </row>
    <row r="87" spans="1:14" s="381" customFormat="1">
      <c r="A87" s="597" t="s">
        <v>344</v>
      </c>
      <c r="B87" s="587"/>
      <c r="C87" s="686"/>
      <c r="D87" s="587"/>
      <c r="E87" s="587"/>
      <c r="F87" s="587"/>
      <c r="G87" s="582"/>
      <c r="H87" s="31"/>
      <c r="I87" s="31"/>
      <c r="J87" s="31"/>
      <c r="K87" s="31"/>
      <c r="L87" s="31"/>
      <c r="M87" s="31"/>
      <c r="N87" s="562"/>
    </row>
    <row r="88" spans="1:14" s="381" customFormat="1" ht="28.95" customHeight="1">
      <c r="A88" s="726" t="s">
        <v>345</v>
      </c>
      <c r="B88" s="727"/>
      <c r="C88" s="727"/>
      <c r="D88" s="727"/>
      <c r="E88" s="727"/>
      <c r="F88" s="727"/>
      <c r="G88" s="582"/>
      <c r="H88" s="31"/>
      <c r="I88" s="31"/>
      <c r="J88" s="31"/>
      <c r="K88" s="31"/>
      <c r="L88" s="31"/>
      <c r="M88" s="31"/>
      <c r="N88" s="562"/>
    </row>
    <row r="89" spans="1:14" s="381" customFormat="1" ht="30.8" customHeight="1">
      <c r="A89" s="728"/>
      <c r="B89" s="729"/>
      <c r="C89" s="729"/>
      <c r="D89" s="729"/>
      <c r="E89" s="729"/>
      <c r="F89" s="730"/>
      <c r="G89" s="582"/>
      <c r="H89" s="31"/>
      <c r="I89" s="31"/>
      <c r="J89" s="31"/>
      <c r="K89" s="31"/>
      <c r="L89" s="31"/>
      <c r="M89" s="31"/>
      <c r="N89" s="562"/>
    </row>
    <row r="90" spans="1:14" s="381" customFormat="1" ht="15.6" thickBot="1">
      <c r="A90" s="598"/>
      <c r="B90" s="599"/>
      <c r="C90" s="600"/>
      <c r="D90" s="599"/>
      <c r="E90" s="599"/>
      <c r="F90" s="599"/>
      <c r="G90" s="601"/>
      <c r="H90" s="31"/>
      <c r="I90" s="31"/>
      <c r="J90" s="31"/>
      <c r="K90" s="31"/>
      <c r="L90" s="31"/>
      <c r="M90" s="31"/>
      <c r="N90" s="562"/>
    </row>
    <row r="91" spans="1:14" s="381" customFormat="1">
      <c r="A91" s="31"/>
      <c r="B91" s="31"/>
      <c r="C91" s="32"/>
      <c r="D91" s="31"/>
      <c r="E91" s="31"/>
      <c r="F91" s="31"/>
      <c r="G91" s="31"/>
      <c r="H91" s="31"/>
      <c r="I91" s="31"/>
      <c r="J91" s="31"/>
      <c r="K91" s="31"/>
      <c r="L91" s="31"/>
      <c r="M91" s="31"/>
      <c r="N91" s="562"/>
    </row>
    <row r="92" spans="1:14" s="381" customFormat="1">
      <c r="C92" s="687"/>
    </row>
    <row r="93" spans="1:14" s="381" customFormat="1">
      <c r="C93" s="687"/>
    </row>
    <row r="94" spans="1:14" s="381" customFormat="1">
      <c r="C94" s="687"/>
    </row>
  </sheetData>
  <mergeCells count="22">
    <mergeCell ref="G47:J47"/>
    <mergeCell ref="A44:D44"/>
    <mergeCell ref="A45:D45"/>
    <mergeCell ref="A1:N1"/>
    <mergeCell ref="A42:E42"/>
    <mergeCell ref="A43:D43"/>
    <mergeCell ref="A61:F61"/>
    <mergeCell ref="A62:F62"/>
    <mergeCell ref="A63:B63"/>
    <mergeCell ref="A69:F69"/>
    <mergeCell ref="A70:F70"/>
    <mergeCell ref="A73:F73"/>
    <mergeCell ref="A75:F75"/>
    <mergeCell ref="A76:F76"/>
    <mergeCell ref="A77:F77"/>
    <mergeCell ref="A79:E79"/>
    <mergeCell ref="A89:F89"/>
    <mergeCell ref="A80:F80"/>
    <mergeCell ref="A84:F84"/>
    <mergeCell ref="A85:F85"/>
    <mergeCell ref="A86:F86"/>
    <mergeCell ref="A88:F88"/>
  </mergeCells>
  <printOptions horizontalCentered="1"/>
  <pageMargins left="0.2" right="0.2" top="0.75" bottom="0.75" header="0.3" footer="0.3"/>
  <pageSetup scale="67" fitToHeight="0" orientation="landscape" r:id="rId1"/>
  <headerFooter>
    <oddHeader xml:space="preserve">&amp;CDRAFT NOT FOR DISTRIBUTION, INTERNAL USE ONLY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C51"/>
  <sheetViews>
    <sheetView topLeftCell="A40" zoomScaleNormal="100" workbookViewId="0">
      <selection activeCell="B52" sqref="B52"/>
    </sheetView>
  </sheetViews>
  <sheetFormatPr defaultColWidth="9.140625" defaultRowHeight="12.65"/>
  <cols>
    <col min="1" max="1" width="15" style="62" customWidth="1"/>
    <col min="2" max="2" width="13.140625" style="62" customWidth="1"/>
    <col min="3" max="3" width="109.7109375" style="62" customWidth="1"/>
    <col min="4" max="13" width="9.140625" style="62"/>
    <col min="14" max="14" width="23.42578125" style="62" customWidth="1"/>
    <col min="15" max="16384" width="9.140625" style="62"/>
  </cols>
  <sheetData>
    <row r="2" spans="2:3">
      <c r="B2" s="62" t="s">
        <v>54</v>
      </c>
      <c r="C2" s="62" t="s">
        <v>55</v>
      </c>
    </row>
    <row r="3" spans="2:3">
      <c r="B3" s="547">
        <v>44145</v>
      </c>
      <c r="C3" s="64" t="s">
        <v>56</v>
      </c>
    </row>
    <row r="4" spans="2:3">
      <c r="B4" s="280">
        <v>44176</v>
      </c>
      <c r="C4" s="281" t="s">
        <v>57</v>
      </c>
    </row>
    <row r="5" spans="2:3">
      <c r="B5" s="280">
        <v>44257</v>
      </c>
      <c r="C5" s="281" t="s">
        <v>58</v>
      </c>
    </row>
    <row r="6" spans="2:3">
      <c r="B6" s="280">
        <v>44327</v>
      </c>
      <c r="C6" s="281" t="s">
        <v>59</v>
      </c>
    </row>
    <row r="7" spans="2:3">
      <c r="B7" s="63">
        <v>44328</v>
      </c>
      <c r="C7" s="677" t="s">
        <v>60</v>
      </c>
    </row>
    <row r="8" spans="2:3">
      <c r="B8" s="534">
        <v>44343</v>
      </c>
      <c r="C8" s="479" t="s">
        <v>61</v>
      </c>
    </row>
    <row r="9" spans="2:3">
      <c r="B9" s="63">
        <v>44463</v>
      </c>
      <c r="C9" s="64" t="s">
        <v>62</v>
      </c>
    </row>
    <row r="10" spans="2:3">
      <c r="B10" s="395">
        <v>44463</v>
      </c>
      <c r="C10" s="387" t="s">
        <v>63</v>
      </c>
    </row>
    <row r="11" spans="2:3">
      <c r="B11" s="63">
        <v>44463</v>
      </c>
      <c r="C11" s="64" t="s">
        <v>64</v>
      </c>
    </row>
    <row r="12" spans="2:3" ht="25.25">
      <c r="B12" s="395">
        <v>44463</v>
      </c>
      <c r="C12" s="681" t="s">
        <v>65</v>
      </c>
    </row>
    <row r="13" spans="2:3">
      <c r="B13" s="63">
        <v>44466</v>
      </c>
      <c r="C13" s="64" t="s">
        <v>66</v>
      </c>
    </row>
    <row r="14" spans="2:3">
      <c r="B14" s="395">
        <v>44467</v>
      </c>
      <c r="C14" s="387" t="s">
        <v>67</v>
      </c>
    </row>
    <row r="15" spans="2:3">
      <c r="B15" s="395">
        <v>44467</v>
      </c>
      <c r="C15" s="387" t="s">
        <v>68</v>
      </c>
    </row>
    <row r="16" spans="2:3">
      <c r="B16" s="395">
        <v>44467</v>
      </c>
      <c r="C16" s="387" t="s">
        <v>69</v>
      </c>
    </row>
    <row r="17" spans="2:3">
      <c r="B17" s="63">
        <v>44469</v>
      </c>
      <c r="C17" s="64" t="s">
        <v>70</v>
      </c>
    </row>
    <row r="18" spans="2:3">
      <c r="B18" s="63">
        <v>44470</v>
      </c>
      <c r="C18" s="64" t="s">
        <v>71</v>
      </c>
    </row>
    <row r="19" spans="2:3">
      <c r="B19" s="63">
        <v>44475</v>
      </c>
      <c r="C19" s="64" t="s">
        <v>72</v>
      </c>
    </row>
    <row r="20" spans="2:3">
      <c r="B20" s="280">
        <v>44477</v>
      </c>
      <c r="C20" s="677" t="s">
        <v>73</v>
      </c>
    </row>
    <row r="21" spans="2:3">
      <c r="B21" s="477">
        <v>44477</v>
      </c>
      <c r="C21" s="64" t="s">
        <v>74</v>
      </c>
    </row>
    <row r="22" spans="2:3">
      <c r="B22" s="63">
        <v>44477</v>
      </c>
      <c r="C22" s="64" t="s">
        <v>75</v>
      </c>
    </row>
    <row r="23" spans="2:3">
      <c r="B23" s="63">
        <v>44482</v>
      </c>
      <c r="C23" s="64" t="s">
        <v>76</v>
      </c>
    </row>
    <row r="24" spans="2:3" ht="25.25">
      <c r="B24" s="395">
        <v>44509</v>
      </c>
      <c r="C24" s="387" t="s">
        <v>77</v>
      </c>
    </row>
    <row r="25" spans="2:3">
      <c r="B25" s="63">
        <v>44529</v>
      </c>
      <c r="C25" s="64" t="s">
        <v>78</v>
      </c>
    </row>
    <row r="26" spans="2:3" ht="25.25">
      <c r="B26" s="395">
        <v>44530</v>
      </c>
      <c r="C26" s="387" t="s">
        <v>79</v>
      </c>
    </row>
    <row r="27" spans="2:3">
      <c r="B27" s="395">
        <v>44531</v>
      </c>
      <c r="C27" s="387" t="s">
        <v>80</v>
      </c>
    </row>
    <row r="28" spans="2:3" ht="25.25">
      <c r="B28" s="395">
        <v>44533</v>
      </c>
      <c r="C28" s="387" t="s">
        <v>81</v>
      </c>
    </row>
    <row r="29" spans="2:3">
      <c r="B29" s="395">
        <v>44537</v>
      </c>
      <c r="C29" s="387" t="s">
        <v>82</v>
      </c>
    </row>
    <row r="30" spans="2:3" ht="25.25">
      <c r="B30" s="395">
        <v>44538</v>
      </c>
      <c r="C30" s="387" t="s">
        <v>1309</v>
      </c>
    </row>
    <row r="31" spans="2:3">
      <c r="B31" s="63">
        <v>44582</v>
      </c>
      <c r="C31" s="64" t="s">
        <v>1312</v>
      </c>
    </row>
    <row r="32" spans="2:3">
      <c r="B32" s="63">
        <v>44592</v>
      </c>
      <c r="C32" s="64" t="s">
        <v>1313</v>
      </c>
    </row>
    <row r="33" spans="2:3">
      <c r="B33" s="63">
        <v>44594</v>
      </c>
      <c r="C33" s="64" t="s">
        <v>1314</v>
      </c>
    </row>
    <row r="34" spans="2:3">
      <c r="B34" s="63">
        <v>44594</v>
      </c>
      <c r="C34" s="64" t="s">
        <v>1315</v>
      </c>
    </row>
    <row r="35" spans="2:3">
      <c r="B35" s="63">
        <v>44595</v>
      </c>
      <c r="C35" s="64" t="s">
        <v>1313</v>
      </c>
    </row>
    <row r="36" spans="2:3">
      <c r="B36" s="63">
        <v>44601</v>
      </c>
      <c r="C36" s="64" t="s">
        <v>1320</v>
      </c>
    </row>
    <row r="37" spans="2:3">
      <c r="B37" s="63">
        <v>44607</v>
      </c>
      <c r="C37" s="64" t="s">
        <v>1326</v>
      </c>
    </row>
    <row r="38" spans="2:3">
      <c r="B38" s="63">
        <v>44608</v>
      </c>
      <c r="C38" s="64" t="s">
        <v>1327</v>
      </c>
    </row>
    <row r="39" spans="2:3">
      <c r="B39" s="63">
        <v>44614</v>
      </c>
      <c r="C39" s="64" t="s">
        <v>1329</v>
      </c>
    </row>
    <row r="40" spans="2:3">
      <c r="B40" s="280">
        <v>44621</v>
      </c>
      <c r="C40" s="281" t="s">
        <v>1331</v>
      </c>
    </row>
    <row r="41" spans="2:3">
      <c r="B41" s="63">
        <v>44623</v>
      </c>
      <c r="C41" s="64" t="s">
        <v>1333</v>
      </c>
    </row>
    <row r="42" spans="2:3">
      <c r="B42" s="63">
        <v>44624</v>
      </c>
      <c r="C42" s="64" t="s">
        <v>1335</v>
      </c>
    </row>
    <row r="43" spans="2:3">
      <c r="B43" s="63">
        <v>44630</v>
      </c>
      <c r="C43" s="64" t="s">
        <v>1331</v>
      </c>
    </row>
    <row r="44" spans="2:3">
      <c r="B44" s="63">
        <v>44643</v>
      </c>
      <c r="C44" s="64" t="s">
        <v>1342</v>
      </c>
    </row>
    <row r="45" spans="2:3">
      <c r="B45" s="63">
        <v>44656</v>
      </c>
      <c r="C45" s="64" t="s">
        <v>1343</v>
      </c>
    </row>
    <row r="46" spans="2:3">
      <c r="B46" s="63">
        <v>44664</v>
      </c>
      <c r="C46" s="64" t="s">
        <v>1358</v>
      </c>
    </row>
    <row r="47" spans="2:3">
      <c r="B47" s="63">
        <v>44666</v>
      </c>
      <c r="C47" s="64" t="s">
        <v>1359</v>
      </c>
    </row>
    <row r="48" spans="2:3">
      <c r="B48" s="63">
        <v>44670</v>
      </c>
      <c r="C48" s="64" t="s">
        <v>1362</v>
      </c>
    </row>
    <row r="49" spans="2:3">
      <c r="B49" s="63">
        <v>44671</v>
      </c>
      <c r="C49" s="64" t="s">
        <v>1363</v>
      </c>
    </row>
    <row r="50" spans="2:3">
      <c r="B50" s="63">
        <v>44672</v>
      </c>
      <c r="C50" s="677" t="s">
        <v>1378</v>
      </c>
    </row>
    <row r="51" spans="2:3">
      <c r="B51" s="63">
        <v>44672</v>
      </c>
      <c r="C51" s="64" t="s">
        <v>1372</v>
      </c>
    </row>
  </sheetData>
  <pageMargins left="0.7" right="0.7" top="0.75" bottom="0.75" header="0.3" footer="0.3"/>
  <pageSetup scale="72" orientation="landscape" r:id="rId1"/>
  <headerFooter>
    <oddHeader xml:space="preserve">&amp;CDRAFT NOT FOR DISTRIBUTION, INTERNAL USE ONLY
</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39997558519241921"/>
    <pageSetUpPr fitToPage="1"/>
  </sheetPr>
  <dimension ref="A1:N94"/>
  <sheetViews>
    <sheetView zoomScaleNormal="100" workbookViewId="0">
      <selection sqref="A1:N1"/>
    </sheetView>
  </sheetViews>
  <sheetFormatPr defaultRowHeight="14.85"/>
  <cols>
    <col min="1" max="1" width="50.42578125" customWidth="1"/>
    <col min="2" max="2" width="16" customWidth="1"/>
    <col min="3" max="3" width="7.7109375" style="30" customWidth="1"/>
    <col min="4" max="4" width="15.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51.7109375" customWidth="1"/>
  </cols>
  <sheetData>
    <row r="1" spans="1:14" ht="15.6">
      <c r="A1" s="745" t="s">
        <v>623</v>
      </c>
      <c r="B1" s="745"/>
      <c r="C1" s="745"/>
      <c r="D1" s="745"/>
      <c r="E1" s="745"/>
      <c r="F1" s="745"/>
      <c r="G1" s="745"/>
      <c r="H1" s="745"/>
      <c r="I1" s="745"/>
      <c r="J1" s="745"/>
      <c r="K1" s="745"/>
      <c r="L1" s="745"/>
      <c r="M1" s="745"/>
      <c r="N1" s="745"/>
    </row>
    <row r="2" spans="1:14">
      <c r="A2" s="65" t="s">
        <v>645</v>
      </c>
      <c r="B2" s="381"/>
      <c r="C2" s="687"/>
      <c r="D2" s="381"/>
      <c r="E2" s="381"/>
      <c r="F2" s="381"/>
      <c r="G2" s="381"/>
      <c r="H2" s="381"/>
      <c r="I2" s="381"/>
      <c r="J2" s="381"/>
      <c r="K2" s="381"/>
      <c r="L2" s="381"/>
      <c r="M2" s="381"/>
      <c r="N2" s="381"/>
    </row>
    <row r="3" spans="1:14">
      <c r="A3" s="68" t="s">
        <v>646</v>
      </c>
      <c r="B3" s="381"/>
      <c r="C3" s="687"/>
      <c r="D3" s="29"/>
      <c r="E3" s="554" t="s">
        <v>275</v>
      </c>
      <c r="F3" s="457"/>
      <c r="G3" s="29"/>
      <c r="H3" s="381"/>
      <c r="I3" s="381"/>
      <c r="J3" s="381"/>
      <c r="K3" s="381"/>
      <c r="L3" s="381"/>
      <c r="M3" s="381"/>
      <c r="N3" s="381"/>
    </row>
    <row r="4" spans="1:14">
      <c r="A4" s="68" t="s">
        <v>647</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30.25" customHeight="1">
      <c r="A7" s="36" t="s">
        <v>648</v>
      </c>
      <c r="B7" s="36"/>
      <c r="C7" s="37" t="s">
        <v>287</v>
      </c>
      <c r="D7" s="39">
        <v>2</v>
      </c>
      <c r="E7" s="263">
        <v>213</v>
      </c>
      <c r="F7" s="309">
        <f t="shared" ref="F7:F9" si="0">SUM(G7:M7)</f>
        <v>219</v>
      </c>
      <c r="G7" s="310">
        <v>0</v>
      </c>
      <c r="H7" s="310">
        <v>219</v>
      </c>
      <c r="I7" s="310">
        <v>0</v>
      </c>
      <c r="J7" s="310">
        <v>0</v>
      </c>
      <c r="K7" s="310">
        <v>0</v>
      </c>
      <c r="L7" s="310">
        <v>0</v>
      </c>
      <c r="M7" s="311">
        <v>0</v>
      </c>
      <c r="N7" s="325" t="s">
        <v>649</v>
      </c>
    </row>
    <row r="8" spans="1:14" ht="15.05" customHeight="1">
      <c r="A8" s="36" t="s">
        <v>650</v>
      </c>
      <c r="B8" s="264"/>
      <c r="C8" s="37" t="s">
        <v>287</v>
      </c>
      <c r="D8" s="39">
        <v>0.2</v>
      </c>
      <c r="E8" s="263">
        <v>19</v>
      </c>
      <c r="F8" s="309">
        <f t="shared" si="0"/>
        <v>20</v>
      </c>
      <c r="G8" s="310">
        <v>0</v>
      </c>
      <c r="H8" s="310">
        <v>20</v>
      </c>
      <c r="I8" s="310">
        <v>0</v>
      </c>
      <c r="J8" s="310">
        <v>0</v>
      </c>
      <c r="K8" s="310">
        <v>0</v>
      </c>
      <c r="L8" s="310">
        <v>0</v>
      </c>
      <c r="M8" s="311">
        <v>0</v>
      </c>
      <c r="N8" s="325" t="s">
        <v>651</v>
      </c>
    </row>
    <row r="9" spans="1:14">
      <c r="A9" s="36" t="s">
        <v>652</v>
      </c>
      <c r="B9" s="264" t="s">
        <v>653</v>
      </c>
      <c r="C9" s="37" t="s">
        <v>287</v>
      </c>
      <c r="D9" s="39">
        <v>1</v>
      </c>
      <c r="E9" s="263">
        <v>126</v>
      </c>
      <c r="F9" s="309">
        <f t="shared" si="0"/>
        <v>130</v>
      </c>
      <c r="G9" s="310">
        <v>0</v>
      </c>
      <c r="H9" s="310">
        <v>130</v>
      </c>
      <c r="I9" s="310">
        <v>0</v>
      </c>
      <c r="J9" s="310">
        <v>0</v>
      </c>
      <c r="K9" s="310">
        <v>0</v>
      </c>
      <c r="L9" s="310">
        <v>0</v>
      </c>
      <c r="M9" s="311">
        <v>0</v>
      </c>
      <c r="N9" s="327" t="s">
        <v>649</v>
      </c>
    </row>
    <row r="10" spans="1:14" ht="15.05" customHeight="1">
      <c r="A10" s="36" t="s">
        <v>551</v>
      </c>
      <c r="B10" s="264"/>
      <c r="C10" s="37" t="s">
        <v>287</v>
      </c>
      <c r="D10" s="39"/>
      <c r="E10" s="263">
        <v>0</v>
      </c>
      <c r="F10" s="309">
        <f t="shared" ref="F10:F14" si="1">SUM(G10:M10)</f>
        <v>0</v>
      </c>
      <c r="G10" s="310">
        <v>0</v>
      </c>
      <c r="H10" s="310">
        <v>0</v>
      </c>
      <c r="I10" s="310">
        <v>0</v>
      </c>
      <c r="J10" s="310">
        <v>0</v>
      </c>
      <c r="K10" s="310">
        <v>0</v>
      </c>
      <c r="L10" s="310">
        <v>0</v>
      </c>
      <c r="M10" s="311">
        <v>0</v>
      </c>
      <c r="N10" s="327"/>
    </row>
    <row r="11" spans="1:14" ht="15.05" customHeight="1">
      <c r="A11" s="36" t="s">
        <v>551</v>
      </c>
      <c r="B11" s="36"/>
      <c r="C11" s="37" t="s">
        <v>287</v>
      </c>
      <c r="D11" s="39"/>
      <c r="E11" s="263">
        <v>0</v>
      </c>
      <c r="F11" s="309">
        <f t="shared" si="1"/>
        <v>0</v>
      </c>
      <c r="G11" s="310">
        <v>0</v>
      </c>
      <c r="H11" s="310">
        <v>0</v>
      </c>
      <c r="I11" s="310">
        <v>0</v>
      </c>
      <c r="J11" s="310">
        <v>0</v>
      </c>
      <c r="K11" s="310">
        <v>0</v>
      </c>
      <c r="L11" s="310">
        <v>0</v>
      </c>
      <c r="M11" s="311">
        <v>0</v>
      </c>
      <c r="N11" s="355"/>
    </row>
    <row r="12" spans="1:14">
      <c r="A12" s="36" t="s">
        <v>286</v>
      </c>
      <c r="B12" s="264"/>
      <c r="C12" s="37" t="s">
        <v>287</v>
      </c>
      <c r="D12" s="39"/>
      <c r="E12" s="263">
        <v>0</v>
      </c>
      <c r="F12" s="309">
        <f t="shared" si="1"/>
        <v>0</v>
      </c>
      <c r="G12" s="310">
        <v>0</v>
      </c>
      <c r="H12" s="310">
        <v>0</v>
      </c>
      <c r="I12" s="310">
        <v>0</v>
      </c>
      <c r="J12" s="310">
        <v>0</v>
      </c>
      <c r="K12" s="310">
        <v>0</v>
      </c>
      <c r="L12" s="310">
        <v>0</v>
      </c>
      <c r="M12" s="311">
        <v>0</v>
      </c>
      <c r="N12" s="355"/>
    </row>
    <row r="13" spans="1:14">
      <c r="A13" s="36" t="s">
        <v>286</v>
      </c>
      <c r="B13" s="264"/>
      <c r="C13" s="37" t="s">
        <v>287</v>
      </c>
      <c r="D13" s="39"/>
      <c r="E13" s="263">
        <v>0</v>
      </c>
      <c r="F13" s="309">
        <f t="shared" si="1"/>
        <v>0</v>
      </c>
      <c r="G13" s="310">
        <v>0</v>
      </c>
      <c r="H13" s="310">
        <v>0</v>
      </c>
      <c r="I13" s="310">
        <v>0</v>
      </c>
      <c r="J13" s="310">
        <v>0</v>
      </c>
      <c r="K13" s="310">
        <v>0</v>
      </c>
      <c r="L13" s="310">
        <v>0</v>
      </c>
      <c r="M13" s="311">
        <v>0</v>
      </c>
      <c r="N13" s="355"/>
    </row>
    <row r="14" spans="1:14">
      <c r="A14" s="36" t="s">
        <v>286</v>
      </c>
      <c r="B14" s="265"/>
      <c r="C14" s="37" t="s">
        <v>287</v>
      </c>
      <c r="D14" s="39"/>
      <c r="E14" s="263">
        <v>0</v>
      </c>
      <c r="F14" s="309">
        <f t="shared" si="1"/>
        <v>0</v>
      </c>
      <c r="G14" s="310">
        <v>0</v>
      </c>
      <c r="H14" s="310">
        <v>0</v>
      </c>
      <c r="I14" s="310">
        <v>0</v>
      </c>
      <c r="J14" s="310">
        <v>0</v>
      </c>
      <c r="K14" s="310">
        <v>0</v>
      </c>
      <c r="L14" s="310">
        <v>0</v>
      </c>
      <c r="M14" s="311">
        <v>0</v>
      </c>
      <c r="N14" s="355"/>
    </row>
    <row r="15" spans="1:14">
      <c r="A15" s="40" t="s">
        <v>288</v>
      </c>
      <c r="B15" s="265"/>
      <c r="C15" s="266"/>
      <c r="D15" s="41">
        <f t="shared" ref="D15:M15" si="2">SUM(D7:D14)</f>
        <v>3.2</v>
      </c>
      <c r="E15" s="42">
        <f t="shared" si="2"/>
        <v>358</v>
      </c>
      <c r="F15" s="43">
        <f t="shared" si="2"/>
        <v>369</v>
      </c>
      <c r="G15" s="43">
        <f t="shared" si="2"/>
        <v>0</v>
      </c>
      <c r="H15" s="43">
        <f t="shared" si="2"/>
        <v>369</v>
      </c>
      <c r="I15" s="43">
        <f t="shared" si="2"/>
        <v>0</v>
      </c>
      <c r="J15" s="43">
        <f t="shared" si="2"/>
        <v>0</v>
      </c>
      <c r="K15" s="43">
        <f t="shared" si="2"/>
        <v>0</v>
      </c>
      <c r="L15" s="43">
        <f t="shared" si="2"/>
        <v>0</v>
      </c>
      <c r="M15" s="43">
        <f t="shared" si="2"/>
        <v>0</v>
      </c>
      <c r="N15" s="254"/>
    </row>
    <row r="16" spans="1:14">
      <c r="A16" s="69" t="s">
        <v>289</v>
      </c>
      <c r="B16" s="70"/>
      <c r="C16" s="71"/>
      <c r="D16" s="70"/>
      <c r="E16" s="70"/>
      <c r="F16" s="72"/>
      <c r="G16" s="72"/>
      <c r="H16" s="72"/>
      <c r="I16" s="72"/>
      <c r="J16" s="72"/>
      <c r="K16" s="72"/>
      <c r="L16" s="72"/>
      <c r="M16" s="72"/>
      <c r="N16" s="72"/>
    </row>
    <row r="17" spans="1:14" ht="29.7">
      <c r="A17" s="264" t="s">
        <v>654</v>
      </c>
      <c r="B17" s="264" t="s">
        <v>655</v>
      </c>
      <c r="C17" s="44">
        <v>253</v>
      </c>
      <c r="D17" s="45">
        <v>0.16</v>
      </c>
      <c r="E17" s="263">
        <v>9</v>
      </c>
      <c r="F17" s="357">
        <f>SUM(G17:M17)</f>
        <v>10</v>
      </c>
      <c r="G17" s="310">
        <v>0</v>
      </c>
      <c r="H17" s="310">
        <v>10</v>
      </c>
      <c r="I17" s="310">
        <v>0</v>
      </c>
      <c r="J17" s="310">
        <v>0</v>
      </c>
      <c r="K17" s="310">
        <v>0</v>
      </c>
      <c r="L17" s="310">
        <v>0</v>
      </c>
      <c r="M17" s="311">
        <v>0</v>
      </c>
      <c r="N17" s="327" t="s">
        <v>656</v>
      </c>
    </row>
    <row r="18" spans="1:14" ht="29.7">
      <c r="A18" s="264" t="s">
        <v>355</v>
      </c>
      <c r="B18" s="264" t="s">
        <v>657</v>
      </c>
      <c r="C18" s="44">
        <v>253</v>
      </c>
      <c r="D18" s="45"/>
      <c r="E18" s="263">
        <v>0</v>
      </c>
      <c r="F18" s="357">
        <f>SUM(G18:M18)</f>
        <v>119</v>
      </c>
      <c r="G18" s="310">
        <v>0</v>
      </c>
      <c r="H18" s="310">
        <v>0</v>
      </c>
      <c r="I18" s="310">
        <v>0</v>
      </c>
      <c r="J18" s="310">
        <v>0</v>
      </c>
      <c r="K18" s="310">
        <v>75</v>
      </c>
      <c r="L18" s="310">
        <v>44</v>
      </c>
      <c r="M18" s="311">
        <v>0</v>
      </c>
      <c r="N18" s="545" t="s">
        <v>658</v>
      </c>
    </row>
    <row r="19" spans="1:14">
      <c r="A19" s="264" t="s">
        <v>659</v>
      </c>
      <c r="B19" s="264" t="s">
        <v>660</v>
      </c>
      <c r="C19" s="44">
        <v>253</v>
      </c>
      <c r="D19" s="267"/>
      <c r="E19" s="263">
        <v>70</v>
      </c>
      <c r="F19" s="357">
        <f>SUM(G19:M19)</f>
        <v>70</v>
      </c>
      <c r="G19" s="310">
        <v>0</v>
      </c>
      <c r="H19" s="310">
        <v>0</v>
      </c>
      <c r="I19" s="310"/>
      <c r="J19" s="310">
        <v>0</v>
      </c>
      <c r="K19" s="310">
        <v>0</v>
      </c>
      <c r="L19" s="310">
        <v>70</v>
      </c>
      <c r="M19" s="311">
        <v>0</v>
      </c>
      <c r="N19" s="325" t="s">
        <v>661</v>
      </c>
    </row>
    <row r="20" spans="1:14" s="7" customFormat="1">
      <c r="A20" s="264" t="s">
        <v>355</v>
      </c>
      <c r="B20" s="264"/>
      <c r="C20" s="44">
        <v>253</v>
      </c>
      <c r="D20" s="267"/>
      <c r="E20" s="263">
        <v>0</v>
      </c>
      <c r="F20" s="357">
        <f>SUM(G20:M20)</f>
        <v>0</v>
      </c>
      <c r="G20" s="310">
        <v>0</v>
      </c>
      <c r="H20" s="310">
        <v>0</v>
      </c>
      <c r="I20" s="310">
        <v>0</v>
      </c>
      <c r="J20" s="310">
        <v>0</v>
      </c>
      <c r="K20" s="310">
        <v>0</v>
      </c>
      <c r="L20" s="310">
        <v>0</v>
      </c>
      <c r="M20" s="311">
        <v>0</v>
      </c>
      <c r="N20" s="326"/>
    </row>
    <row r="21" spans="1:14">
      <c r="A21" s="40" t="s">
        <v>294</v>
      </c>
      <c r="B21" s="265"/>
      <c r="C21" s="266"/>
      <c r="D21" s="267">
        <f t="shared" ref="D21:M21" si="3">SUM(D17:D20)</f>
        <v>0.16</v>
      </c>
      <c r="E21" s="42">
        <f t="shared" si="3"/>
        <v>79</v>
      </c>
      <c r="F21" s="43">
        <f t="shared" si="3"/>
        <v>199</v>
      </c>
      <c r="G21" s="43">
        <f t="shared" si="3"/>
        <v>0</v>
      </c>
      <c r="H21" s="43">
        <f t="shared" si="3"/>
        <v>10</v>
      </c>
      <c r="I21" s="43">
        <f t="shared" si="3"/>
        <v>0</v>
      </c>
      <c r="J21" s="43">
        <f t="shared" si="3"/>
        <v>0</v>
      </c>
      <c r="K21" s="43">
        <f t="shared" si="3"/>
        <v>75</v>
      </c>
      <c r="L21" s="43">
        <f t="shared" si="3"/>
        <v>114</v>
      </c>
      <c r="M21" s="43">
        <f t="shared" si="3"/>
        <v>0</v>
      </c>
      <c r="N21" s="355"/>
    </row>
    <row r="22" spans="1:14" s="7" customFormat="1">
      <c r="A22" s="127" t="s">
        <v>295</v>
      </c>
      <c r="B22" s="128"/>
      <c r="C22" s="128"/>
      <c r="D22" s="128"/>
      <c r="E22" s="89"/>
      <c r="F22" s="89"/>
      <c r="G22" s="89"/>
      <c r="H22" s="89"/>
      <c r="I22" s="89"/>
      <c r="J22" s="89"/>
      <c r="K22" s="89"/>
      <c r="L22" s="89"/>
      <c r="M22" s="89"/>
      <c r="N22" s="130"/>
    </row>
    <row r="23" spans="1:14" ht="15.05" customHeight="1">
      <c r="A23" s="264" t="s">
        <v>296</v>
      </c>
      <c r="B23" s="36"/>
      <c r="C23" s="37" t="s">
        <v>297</v>
      </c>
      <c r="D23" s="38">
        <v>0</v>
      </c>
      <c r="E23" s="263">
        <v>0</v>
      </c>
      <c r="F23" s="309">
        <f t="shared" ref="F23" si="4">SUM(G23:M23)</f>
        <v>0</v>
      </c>
      <c r="G23" s="310">
        <v>0</v>
      </c>
      <c r="H23" s="310">
        <v>0</v>
      </c>
      <c r="I23" s="310">
        <v>0</v>
      </c>
      <c r="J23" s="310">
        <v>0</v>
      </c>
      <c r="K23" s="310">
        <v>0</v>
      </c>
      <c r="L23" s="310">
        <v>0</v>
      </c>
      <c r="M23" s="311">
        <v>0</v>
      </c>
      <c r="N23" s="325"/>
    </row>
    <row r="24" spans="1:14">
      <c r="A24" s="264" t="s">
        <v>298</v>
      </c>
      <c r="B24" s="36"/>
      <c r="C24" s="44" t="s">
        <v>299</v>
      </c>
      <c r="D24" s="45"/>
      <c r="E24" s="263">
        <v>0</v>
      </c>
      <c r="F24" s="309">
        <f t="shared" ref="F24:F35" si="5">SUM(G24:M24)</f>
        <v>0</v>
      </c>
      <c r="G24" s="310">
        <v>0</v>
      </c>
      <c r="H24" s="310">
        <v>0</v>
      </c>
      <c r="I24" s="310">
        <v>0</v>
      </c>
      <c r="J24" s="310">
        <v>0</v>
      </c>
      <c r="K24" s="310">
        <v>0</v>
      </c>
      <c r="L24" s="310">
        <v>0</v>
      </c>
      <c r="M24" s="311">
        <v>0</v>
      </c>
      <c r="N24" s="355"/>
    </row>
    <row r="25" spans="1:14">
      <c r="A25" s="264" t="s">
        <v>300</v>
      </c>
      <c r="B25" s="36"/>
      <c r="C25" s="44" t="s">
        <v>301</v>
      </c>
      <c r="D25" s="45"/>
      <c r="E25" s="263">
        <v>0</v>
      </c>
      <c r="F25" s="309">
        <f t="shared" si="5"/>
        <v>0</v>
      </c>
      <c r="G25" s="310">
        <v>0</v>
      </c>
      <c r="H25" s="310">
        <v>0</v>
      </c>
      <c r="I25" s="310">
        <v>0</v>
      </c>
      <c r="J25" s="310">
        <v>0</v>
      </c>
      <c r="K25" s="310">
        <v>0</v>
      </c>
      <c r="L25" s="310">
        <v>0</v>
      </c>
      <c r="M25" s="311">
        <v>0</v>
      </c>
      <c r="N25" s="355"/>
    </row>
    <row r="26" spans="1:14">
      <c r="A26" s="264" t="s">
        <v>302</v>
      </c>
      <c r="B26" s="36"/>
      <c r="C26" s="44" t="s">
        <v>303</v>
      </c>
      <c r="D26" s="45"/>
      <c r="E26" s="263">
        <v>0</v>
      </c>
      <c r="F26" s="309">
        <f t="shared" si="5"/>
        <v>0</v>
      </c>
      <c r="G26" s="310">
        <v>0</v>
      </c>
      <c r="H26" s="310">
        <v>0</v>
      </c>
      <c r="I26" s="310">
        <v>0</v>
      </c>
      <c r="J26" s="310">
        <v>0</v>
      </c>
      <c r="K26" s="310">
        <v>0</v>
      </c>
      <c r="L26" s="310">
        <v>0</v>
      </c>
      <c r="M26" s="311">
        <v>0</v>
      </c>
      <c r="N26" s="355"/>
    </row>
    <row r="27" spans="1:14">
      <c r="A27" s="264" t="s">
        <v>304</v>
      </c>
      <c r="B27" s="36"/>
      <c r="C27" s="44">
        <v>251</v>
      </c>
      <c r="D27" s="45"/>
      <c r="E27" s="263">
        <v>0</v>
      </c>
      <c r="F27" s="309">
        <f t="shared" si="5"/>
        <v>0</v>
      </c>
      <c r="G27" s="310">
        <v>0</v>
      </c>
      <c r="H27" s="310">
        <v>0</v>
      </c>
      <c r="I27" s="310">
        <v>0</v>
      </c>
      <c r="J27" s="310">
        <v>0</v>
      </c>
      <c r="K27" s="310">
        <v>0</v>
      </c>
      <c r="L27" s="310">
        <v>0</v>
      </c>
      <c r="M27" s="311">
        <v>0</v>
      </c>
      <c r="N27" s="355"/>
    </row>
    <row r="28" spans="1:14">
      <c r="A28" s="264" t="s">
        <v>313</v>
      </c>
      <c r="B28" s="36"/>
      <c r="C28" s="44">
        <v>252</v>
      </c>
      <c r="D28" s="45"/>
      <c r="E28" s="263">
        <v>0</v>
      </c>
      <c r="F28" s="309">
        <f t="shared" si="5"/>
        <v>0</v>
      </c>
      <c r="G28" s="310">
        <v>0</v>
      </c>
      <c r="H28" s="310">
        <v>0</v>
      </c>
      <c r="I28" s="310">
        <v>0</v>
      </c>
      <c r="J28" s="310">
        <v>0</v>
      </c>
      <c r="K28" s="310">
        <v>0</v>
      </c>
      <c r="L28" s="310">
        <v>0</v>
      </c>
      <c r="M28" s="311">
        <v>0</v>
      </c>
      <c r="N28" s="355"/>
    </row>
    <row r="29" spans="1:14">
      <c r="A29" s="264" t="s">
        <v>314</v>
      </c>
      <c r="B29" s="36"/>
      <c r="C29" s="44">
        <v>252</v>
      </c>
      <c r="D29" s="45"/>
      <c r="E29" s="263">
        <v>0</v>
      </c>
      <c r="F29" s="309">
        <f t="shared" si="5"/>
        <v>0</v>
      </c>
      <c r="G29" s="310">
        <v>0</v>
      </c>
      <c r="H29" s="310">
        <v>0</v>
      </c>
      <c r="I29" s="310">
        <v>0</v>
      </c>
      <c r="J29" s="310">
        <v>0</v>
      </c>
      <c r="K29" s="310">
        <v>0</v>
      </c>
      <c r="L29" s="310">
        <v>0</v>
      </c>
      <c r="M29" s="311">
        <v>0</v>
      </c>
      <c r="N29" s="355"/>
    </row>
    <row r="30" spans="1:14">
      <c r="A30" s="73" t="s">
        <v>662</v>
      </c>
      <c r="B30" s="36"/>
      <c r="C30" s="44">
        <v>253</v>
      </c>
      <c r="D30" s="264"/>
      <c r="E30" s="263">
        <v>5</v>
      </c>
      <c r="F30" s="309">
        <f t="shared" si="5"/>
        <v>5</v>
      </c>
      <c r="G30" s="310">
        <v>0</v>
      </c>
      <c r="H30" s="310">
        <v>5</v>
      </c>
      <c r="I30" s="310">
        <v>0</v>
      </c>
      <c r="J30" s="310">
        <v>0</v>
      </c>
      <c r="K30" s="310">
        <v>0</v>
      </c>
      <c r="L30" s="310">
        <v>0</v>
      </c>
      <c r="M30" s="311">
        <v>0</v>
      </c>
      <c r="N30" s="325" t="s">
        <v>663</v>
      </c>
    </row>
    <row r="31" spans="1:14">
      <c r="A31" s="264" t="s">
        <v>316</v>
      </c>
      <c r="B31" s="36"/>
      <c r="C31" s="44">
        <v>255</v>
      </c>
      <c r="D31" s="264"/>
      <c r="E31" s="263">
        <v>0</v>
      </c>
      <c r="F31" s="309">
        <f t="shared" si="5"/>
        <v>0</v>
      </c>
      <c r="G31" s="310">
        <v>0</v>
      </c>
      <c r="H31" s="310">
        <v>0</v>
      </c>
      <c r="I31" s="310">
        <v>0</v>
      </c>
      <c r="J31" s="310">
        <v>0</v>
      </c>
      <c r="K31" s="310">
        <v>0</v>
      </c>
      <c r="L31" s="310">
        <v>0</v>
      </c>
      <c r="M31" s="311">
        <v>0</v>
      </c>
      <c r="N31" s="355"/>
    </row>
    <row r="32" spans="1:14">
      <c r="A32" s="264" t="s">
        <v>317</v>
      </c>
      <c r="B32" s="36"/>
      <c r="C32" s="44">
        <v>256</v>
      </c>
      <c r="D32" s="264"/>
      <c r="E32" s="263">
        <v>0</v>
      </c>
      <c r="F32" s="309">
        <f t="shared" si="5"/>
        <v>0</v>
      </c>
      <c r="G32" s="310">
        <v>0</v>
      </c>
      <c r="H32" s="310">
        <v>0</v>
      </c>
      <c r="I32" s="310">
        <v>0</v>
      </c>
      <c r="J32" s="310">
        <v>0</v>
      </c>
      <c r="K32" s="310">
        <v>0</v>
      </c>
      <c r="L32" s="310">
        <v>0</v>
      </c>
      <c r="M32" s="311">
        <v>0</v>
      </c>
      <c r="N32" s="355"/>
    </row>
    <row r="33" spans="1:14">
      <c r="A33" s="92" t="s">
        <v>318</v>
      </c>
      <c r="B33" s="36"/>
      <c r="C33" s="44">
        <v>257</v>
      </c>
      <c r="D33" s="264"/>
      <c r="E33" s="263">
        <v>0</v>
      </c>
      <c r="F33" s="309">
        <f t="shared" si="5"/>
        <v>0</v>
      </c>
      <c r="G33" s="310">
        <v>0</v>
      </c>
      <c r="H33" s="310">
        <v>0</v>
      </c>
      <c r="I33" s="310">
        <v>0</v>
      </c>
      <c r="J33" s="310">
        <v>0</v>
      </c>
      <c r="K33" s="310">
        <v>0</v>
      </c>
      <c r="L33" s="310">
        <v>0</v>
      </c>
      <c r="M33" s="311">
        <v>0</v>
      </c>
      <c r="N33" s="355"/>
    </row>
    <row r="34" spans="1:14">
      <c r="A34" s="264" t="s">
        <v>319</v>
      </c>
      <c r="B34" s="36"/>
      <c r="C34" s="44" t="s">
        <v>320</v>
      </c>
      <c r="D34" s="264"/>
      <c r="E34" s="263">
        <v>0</v>
      </c>
      <c r="F34" s="309">
        <f t="shared" si="5"/>
        <v>0</v>
      </c>
      <c r="G34" s="310">
        <v>0</v>
      </c>
      <c r="H34" s="310">
        <v>0</v>
      </c>
      <c r="I34" s="310">
        <v>0</v>
      </c>
      <c r="J34" s="310">
        <v>0</v>
      </c>
      <c r="K34" s="310">
        <v>0</v>
      </c>
      <c r="L34" s="310">
        <v>0</v>
      </c>
      <c r="M34" s="311">
        <v>0</v>
      </c>
      <c r="N34" s="355"/>
    </row>
    <row r="35" spans="1:14">
      <c r="A35" s="265" t="s">
        <v>321</v>
      </c>
      <c r="B35" s="36"/>
      <c r="C35" s="266" t="s">
        <v>322</v>
      </c>
      <c r="D35" s="265"/>
      <c r="E35" s="263">
        <v>0</v>
      </c>
      <c r="F35" s="309">
        <f t="shared" si="5"/>
        <v>0</v>
      </c>
      <c r="G35" s="310">
        <v>0</v>
      </c>
      <c r="H35" s="310">
        <v>0</v>
      </c>
      <c r="I35" s="310">
        <v>0</v>
      </c>
      <c r="J35" s="310">
        <v>0</v>
      </c>
      <c r="K35" s="310">
        <v>0</v>
      </c>
      <c r="L35" s="310">
        <v>0</v>
      </c>
      <c r="M35" s="311">
        <v>0</v>
      </c>
      <c r="N35" s="355"/>
    </row>
    <row r="36" spans="1:14">
      <c r="A36" s="40" t="s">
        <v>326</v>
      </c>
      <c r="B36" s="265"/>
      <c r="C36" s="266"/>
      <c r="D36" s="267"/>
      <c r="E36" s="42">
        <f>SUM(E23:E35)</f>
        <v>5</v>
      </c>
      <c r="F36" s="43">
        <f t="shared" ref="F36:M36" si="6">SUM(F23:F35)</f>
        <v>5</v>
      </c>
      <c r="G36" s="43">
        <f t="shared" si="6"/>
        <v>0</v>
      </c>
      <c r="H36" s="43">
        <f t="shared" si="6"/>
        <v>5</v>
      </c>
      <c r="I36" s="43">
        <f t="shared" si="6"/>
        <v>0</v>
      </c>
      <c r="J36" s="43">
        <f t="shared" si="6"/>
        <v>0</v>
      </c>
      <c r="K36" s="43">
        <f t="shared" si="6"/>
        <v>0</v>
      </c>
      <c r="L36" s="43">
        <f t="shared" si="6"/>
        <v>0</v>
      </c>
      <c r="M36" s="43">
        <f t="shared" si="6"/>
        <v>0</v>
      </c>
      <c r="N36" s="355"/>
    </row>
    <row r="37" spans="1:14" s="151" customFormat="1">
      <c r="A37" s="40" t="s">
        <v>327</v>
      </c>
      <c r="B37" s="51"/>
      <c r="C37" s="149"/>
      <c r="D37" s="267"/>
      <c r="E37" s="241"/>
      <c r="F37" s="240">
        <f>SUM(G37:M37)</f>
        <v>0</v>
      </c>
      <c r="G37" s="240"/>
      <c r="H37" s="240">
        <v>0</v>
      </c>
      <c r="I37" s="240"/>
      <c r="J37" s="240"/>
      <c r="K37" s="240"/>
      <c r="L37" s="240"/>
      <c r="M37" s="240"/>
      <c r="N37" s="355"/>
    </row>
    <row r="38" spans="1:14">
      <c r="A38" s="40" t="s">
        <v>328</v>
      </c>
      <c r="B38" s="46"/>
      <c r="C38" s="47"/>
      <c r="D38" s="48">
        <f>D36+D21+D15</f>
        <v>3.3600000000000003</v>
      </c>
      <c r="E38" s="42">
        <f t="shared" ref="E38:M38" si="7">E36+E21+E15-E37</f>
        <v>442</v>
      </c>
      <c r="F38" s="17">
        <f t="shared" si="7"/>
        <v>573</v>
      </c>
      <c r="G38" s="17">
        <f t="shared" si="7"/>
        <v>0</v>
      </c>
      <c r="H38" s="17">
        <f t="shared" si="7"/>
        <v>384</v>
      </c>
      <c r="I38" s="17">
        <f t="shared" si="7"/>
        <v>0</v>
      </c>
      <c r="J38" s="17">
        <f t="shared" si="7"/>
        <v>0</v>
      </c>
      <c r="K38" s="17">
        <f t="shared" si="7"/>
        <v>75</v>
      </c>
      <c r="L38" s="17">
        <f t="shared" si="7"/>
        <v>114</v>
      </c>
      <c r="M38" s="17">
        <f t="shared" si="7"/>
        <v>0</v>
      </c>
      <c r="N38" s="353"/>
    </row>
    <row r="40" spans="1:14">
      <c r="A40" s="806" t="s">
        <v>569</v>
      </c>
      <c r="B40" s="807"/>
      <c r="C40" s="807"/>
      <c r="D40" s="807"/>
      <c r="E40" s="808"/>
      <c r="F40" s="309" t="s">
        <v>570</v>
      </c>
      <c r="G40" s="310" t="s">
        <v>0</v>
      </c>
      <c r="H40" s="310" t="s">
        <v>1</v>
      </c>
      <c r="I40" s="310" t="s">
        <v>2</v>
      </c>
      <c r="J40" s="310" t="s">
        <v>3</v>
      </c>
      <c r="K40" s="310" t="s">
        <v>4</v>
      </c>
      <c r="L40" s="310" t="s">
        <v>34</v>
      </c>
      <c r="M40" s="311"/>
      <c r="N40" s="355" t="s">
        <v>284</v>
      </c>
    </row>
    <row r="41" spans="1:14">
      <c r="A41" s="809" t="s">
        <v>664</v>
      </c>
      <c r="B41" s="810"/>
      <c r="C41" s="810"/>
      <c r="D41" s="811"/>
      <c r="E41" s="91"/>
      <c r="F41" s="88"/>
      <c r="G41" s="90"/>
      <c r="H41" s="90"/>
      <c r="I41" s="90"/>
      <c r="J41" s="90"/>
      <c r="K41" s="90"/>
      <c r="L41" s="90"/>
      <c r="M41" s="88"/>
      <c r="N41" s="89"/>
    </row>
    <row r="42" spans="1:14">
      <c r="A42" s="803" t="s">
        <v>665</v>
      </c>
      <c r="B42" s="804"/>
      <c r="C42" s="804"/>
      <c r="D42" s="805"/>
      <c r="E42" s="263"/>
      <c r="F42" s="309">
        <f>+F18</f>
        <v>119</v>
      </c>
      <c r="G42" s="310">
        <f>ROUND(((472/7000)*119),2)</f>
        <v>8.02</v>
      </c>
      <c r="H42" s="310">
        <f>ROUND(((4750/7000)*119),2)</f>
        <v>80.75</v>
      </c>
      <c r="I42" s="310">
        <f>ROUND(((875/7000)*119),2)</f>
        <v>14.88</v>
      </c>
      <c r="J42" s="310">
        <f>ROUND(((903/7000)*119),2)</f>
        <v>15.35</v>
      </c>
      <c r="K42" s="310"/>
      <c r="L42" s="310"/>
      <c r="M42" s="311">
        <f>ROUND($F42*J$20,0)</f>
        <v>0</v>
      </c>
      <c r="N42" s="355" t="s">
        <v>666</v>
      </c>
    </row>
    <row r="43" spans="1:14">
      <c r="A43" s="803" t="s">
        <v>667</v>
      </c>
      <c r="B43" s="804"/>
      <c r="C43" s="804"/>
      <c r="D43" s="805"/>
      <c r="E43" s="263"/>
      <c r="F43" s="309">
        <f>+F7</f>
        <v>219</v>
      </c>
      <c r="G43" s="310">
        <v>141</v>
      </c>
      <c r="H43" s="310">
        <v>0</v>
      </c>
      <c r="I43" s="310">
        <v>45</v>
      </c>
      <c r="J43" s="310">
        <v>33</v>
      </c>
      <c r="K43" s="310"/>
      <c r="L43" s="310"/>
      <c r="M43" s="311">
        <f>ROUND($F43*J$20,0)</f>
        <v>0</v>
      </c>
      <c r="N43" s="355"/>
    </row>
    <row r="44" spans="1:14">
      <c r="A44" s="803" t="s">
        <v>668</v>
      </c>
      <c r="B44" s="804"/>
      <c r="C44" s="804"/>
      <c r="D44" s="805"/>
      <c r="E44" s="263"/>
      <c r="F44" s="309">
        <f>+F8</f>
        <v>20</v>
      </c>
      <c r="G44" s="310">
        <v>0</v>
      </c>
      <c r="H44" s="310">
        <v>0</v>
      </c>
      <c r="I44" s="310">
        <v>0</v>
      </c>
      <c r="J44" s="310">
        <v>20</v>
      </c>
      <c r="K44" s="310"/>
      <c r="L44" s="310"/>
      <c r="M44" s="311">
        <f>ROUND($F44*J$20,0)</f>
        <v>0</v>
      </c>
      <c r="N44" s="355"/>
    </row>
    <row r="45" spans="1:14" s="151" customFormat="1">
      <c r="A45" s="803" t="s">
        <v>669</v>
      </c>
      <c r="B45" s="804"/>
      <c r="C45" s="804"/>
      <c r="D45" s="805"/>
      <c r="E45" s="263"/>
      <c r="F45" s="309">
        <f>F30</f>
        <v>5</v>
      </c>
      <c r="G45" s="310">
        <v>0</v>
      </c>
      <c r="H45" s="310">
        <v>0</v>
      </c>
      <c r="I45" s="310">
        <v>0</v>
      </c>
      <c r="J45" s="310">
        <v>0</v>
      </c>
      <c r="K45" s="310">
        <v>5</v>
      </c>
      <c r="L45" s="310"/>
      <c r="M45" s="311">
        <f>ROUND($F45*J$20,0)</f>
        <v>0</v>
      </c>
      <c r="N45" s="355"/>
    </row>
    <row r="46" spans="1:14">
      <c r="A46" s="803" t="s">
        <v>670</v>
      </c>
      <c r="B46" s="804"/>
      <c r="C46" s="804"/>
      <c r="D46" s="805"/>
      <c r="E46" s="263"/>
      <c r="F46" s="309">
        <f>+F9</f>
        <v>130</v>
      </c>
      <c r="G46" s="310">
        <v>33</v>
      </c>
      <c r="H46" s="310">
        <v>0</v>
      </c>
      <c r="I46" s="310">
        <v>33</v>
      </c>
      <c r="J46" s="310">
        <v>64</v>
      </c>
      <c r="K46" s="310"/>
      <c r="L46" s="310"/>
      <c r="M46" s="311">
        <f>ROUND($F46*J$20,0)</f>
        <v>0</v>
      </c>
      <c r="N46" s="355"/>
    </row>
    <row r="47" spans="1:14" s="381" customFormat="1">
      <c r="A47" s="405" t="s">
        <v>671</v>
      </c>
      <c r="B47" s="406"/>
      <c r="C47" s="406"/>
      <c r="D47" s="407"/>
      <c r="E47" s="408"/>
      <c r="F47" s="409">
        <f>+F17</f>
        <v>10</v>
      </c>
      <c r="G47" s="410">
        <v>0</v>
      </c>
      <c r="H47" s="410">
        <v>0</v>
      </c>
      <c r="I47" s="410">
        <v>0</v>
      </c>
      <c r="J47" s="410">
        <v>0</v>
      </c>
      <c r="K47" s="410">
        <f>+H17</f>
        <v>10</v>
      </c>
      <c r="L47" s="410"/>
      <c r="M47" s="411">
        <v>0</v>
      </c>
      <c r="N47" s="412"/>
    </row>
    <row r="48" spans="1:14" s="381" customFormat="1">
      <c r="A48" s="405" t="s">
        <v>672</v>
      </c>
      <c r="B48" s="406"/>
      <c r="C48" s="406"/>
      <c r="D48" s="407"/>
      <c r="E48" s="408"/>
      <c r="F48" s="409">
        <v>0</v>
      </c>
      <c r="G48" s="410">
        <v>0</v>
      </c>
      <c r="H48" s="410">
        <v>0</v>
      </c>
      <c r="I48" s="410">
        <v>0</v>
      </c>
      <c r="J48" s="410">
        <v>0</v>
      </c>
      <c r="K48" s="410">
        <f>+H18</f>
        <v>0</v>
      </c>
      <c r="L48" s="410"/>
      <c r="M48" s="411">
        <v>0</v>
      </c>
      <c r="N48" s="412"/>
    </row>
    <row r="49" spans="1:14" s="381" customFormat="1">
      <c r="A49" s="405" t="s">
        <v>673</v>
      </c>
      <c r="B49" s="406"/>
      <c r="C49" s="406"/>
      <c r="D49" s="407"/>
      <c r="E49" s="408"/>
      <c r="F49" s="409">
        <f>+F19</f>
        <v>70</v>
      </c>
      <c r="G49" s="410">
        <v>14</v>
      </c>
      <c r="H49" s="410">
        <v>40</v>
      </c>
      <c r="I49" s="410">
        <v>7</v>
      </c>
      <c r="J49" s="410">
        <v>9</v>
      </c>
      <c r="K49" s="410"/>
      <c r="L49" s="410"/>
      <c r="M49" s="411"/>
      <c r="N49" s="412"/>
    </row>
    <row r="50" spans="1:14" s="381" customFormat="1">
      <c r="A50" s="405" t="s">
        <v>674</v>
      </c>
      <c r="B50" s="406"/>
      <c r="C50" s="406"/>
      <c r="D50" s="407"/>
      <c r="E50" s="408"/>
      <c r="F50" s="409">
        <f>+K23</f>
        <v>0</v>
      </c>
      <c r="G50" s="410">
        <v>0</v>
      </c>
      <c r="H50" s="410">
        <v>0</v>
      </c>
      <c r="I50" s="410">
        <v>0</v>
      </c>
      <c r="J50" s="410">
        <v>0</v>
      </c>
      <c r="K50" s="410">
        <v>0</v>
      </c>
      <c r="L50" s="410"/>
      <c r="M50" s="411"/>
      <c r="N50" s="412"/>
    </row>
    <row r="51" spans="1:14" ht="15.6" thickBot="1">
      <c r="A51" s="800" t="s">
        <v>675</v>
      </c>
      <c r="B51" s="801"/>
      <c r="C51" s="801"/>
      <c r="D51" s="802"/>
      <c r="E51" s="214"/>
      <c r="F51" s="215">
        <f>SUM(F42:F50)</f>
        <v>573</v>
      </c>
      <c r="G51" s="216">
        <f>SUM(G42:G50)</f>
        <v>196.02</v>
      </c>
      <c r="H51" s="216">
        <f>SUM(H42:H50)</f>
        <v>120.75</v>
      </c>
      <c r="I51" s="216">
        <f>SUM(I42:I50)</f>
        <v>99.88</v>
      </c>
      <c r="J51" s="216">
        <f>SUM(J42:J50)</f>
        <v>141.35</v>
      </c>
      <c r="K51" s="216">
        <f>SUM(K42:K47)</f>
        <v>15</v>
      </c>
      <c r="L51" s="216">
        <f>SUM(L42:L46)</f>
        <v>0</v>
      </c>
      <c r="M51" s="217">
        <f>SUM(M42:M42)</f>
        <v>0</v>
      </c>
      <c r="N51" s="218"/>
    </row>
    <row r="52" spans="1:14">
      <c r="A52" s="797" t="s">
        <v>573</v>
      </c>
      <c r="B52" s="798"/>
      <c r="C52" s="798"/>
      <c r="D52" s="799"/>
      <c r="E52" s="78"/>
      <c r="F52" s="79"/>
      <c r="G52" s="80">
        <f>G38-G51</f>
        <v>-196.02</v>
      </c>
      <c r="H52" s="80">
        <f>H38-H51</f>
        <v>263.25</v>
      </c>
      <c r="I52" s="80">
        <f>-I51</f>
        <v>-99.88</v>
      </c>
      <c r="J52" s="80">
        <f>J38-J51</f>
        <v>-141.35</v>
      </c>
      <c r="K52" s="80">
        <f>K38-K51</f>
        <v>60</v>
      </c>
      <c r="L52" s="80">
        <f>L38-L51</f>
        <v>114</v>
      </c>
      <c r="M52" s="81">
        <f>M38-M51</f>
        <v>0</v>
      </c>
      <c r="N52" s="82"/>
    </row>
    <row r="53" spans="1:14">
      <c r="A53" s="381"/>
      <c r="B53" s="381"/>
      <c r="C53" s="381"/>
      <c r="D53" s="381"/>
      <c r="E53" s="381"/>
      <c r="F53" s="381"/>
      <c r="G53" s="381"/>
      <c r="H53" s="381"/>
      <c r="I53" s="381"/>
      <c r="J53" s="381"/>
      <c r="K53" s="381"/>
      <c r="L53" s="381"/>
      <c r="M53" s="381"/>
      <c r="N53" s="381"/>
    </row>
    <row r="55" spans="1:14" s="381" customFormat="1" ht="15.6" thickBot="1">
      <c r="A55" s="31"/>
      <c r="B55" s="31"/>
      <c r="C55" s="32"/>
      <c r="D55" s="31"/>
      <c r="E55" s="31"/>
      <c r="F55" s="31"/>
      <c r="G55" s="31"/>
      <c r="H55" s="31"/>
      <c r="I55" s="31"/>
      <c r="J55" s="31"/>
      <c r="K55" s="31"/>
      <c r="L55" s="31"/>
      <c r="M55" s="31"/>
      <c r="N55" s="562"/>
    </row>
    <row r="56" spans="1:14" s="381" customFormat="1" ht="15.6">
      <c r="A56" s="764" t="s">
        <v>330</v>
      </c>
      <c r="B56" s="765"/>
      <c r="C56" s="765"/>
      <c r="D56" s="765"/>
      <c r="E56" s="765"/>
      <c r="F56" s="765"/>
      <c r="G56" s="581"/>
      <c r="H56" s="31"/>
      <c r="I56" s="31"/>
      <c r="J56" s="31"/>
      <c r="K56" s="31"/>
      <c r="L56" s="31"/>
      <c r="M56" s="31"/>
      <c r="N56" s="562"/>
    </row>
    <row r="57" spans="1:14" s="381" customFormat="1" ht="15.6">
      <c r="A57" s="738"/>
      <c r="B57" s="739"/>
      <c r="C57" s="739"/>
      <c r="D57" s="739"/>
      <c r="E57" s="739"/>
      <c r="F57" s="739"/>
      <c r="G57" s="582"/>
      <c r="H57" s="31"/>
      <c r="I57" s="31"/>
      <c r="J57" s="31"/>
      <c r="K57" s="31"/>
      <c r="L57" s="31"/>
      <c r="M57" s="31"/>
      <c r="N57" s="562"/>
    </row>
    <row r="58" spans="1:14" s="381" customFormat="1">
      <c r="A58" s="740" t="s">
        <v>331</v>
      </c>
      <c r="B58" s="741"/>
      <c r="C58" s="583"/>
      <c r="D58" s="583"/>
      <c r="E58" s="583"/>
      <c r="F58" s="583"/>
      <c r="G58" s="582"/>
      <c r="H58" s="31"/>
      <c r="I58" s="31"/>
      <c r="J58" s="31"/>
      <c r="K58" s="31"/>
      <c r="L58" s="31"/>
      <c r="M58" s="31"/>
      <c r="N58" s="562"/>
    </row>
    <row r="59" spans="1:14" s="381" customFormat="1">
      <c r="A59" s="584" t="s">
        <v>361</v>
      </c>
      <c r="B59" s="585">
        <f>E38</f>
        <v>442</v>
      </c>
      <c r="C59" s="586"/>
      <c r="D59" s="587"/>
      <c r="E59" s="587"/>
      <c r="F59" s="587"/>
      <c r="G59" s="582"/>
      <c r="H59" s="31"/>
      <c r="I59" s="31"/>
      <c r="J59" s="31"/>
      <c r="K59" s="31"/>
      <c r="L59" s="31"/>
      <c r="M59" s="31"/>
      <c r="N59" s="562"/>
    </row>
    <row r="60" spans="1:14" s="381" customFormat="1">
      <c r="A60" s="588" t="s">
        <v>362</v>
      </c>
      <c r="B60" s="589">
        <f>F38</f>
        <v>573</v>
      </c>
      <c r="C60" s="586"/>
      <c r="D60" s="587"/>
      <c r="E60" s="587"/>
      <c r="F60" s="587"/>
      <c r="G60" s="582"/>
      <c r="H60" s="31"/>
      <c r="I60" s="31"/>
      <c r="J60" s="31"/>
      <c r="K60" s="31"/>
      <c r="L60" s="31"/>
      <c r="M60" s="31"/>
      <c r="N60" s="562"/>
    </row>
    <row r="61" spans="1:14" s="381" customFormat="1">
      <c r="A61" s="590" t="s">
        <v>334</v>
      </c>
      <c r="B61" s="591">
        <f>B60-B59</f>
        <v>131</v>
      </c>
      <c r="C61" s="586"/>
      <c r="D61" s="587"/>
      <c r="E61" s="587"/>
      <c r="F61" s="587"/>
      <c r="G61" s="582"/>
      <c r="H61" s="31"/>
      <c r="I61" s="31"/>
      <c r="J61" s="31"/>
      <c r="K61" s="31"/>
      <c r="L61" s="31"/>
      <c r="M61" s="31"/>
      <c r="N61" s="562"/>
    </row>
    <row r="62" spans="1:14" s="381" customFormat="1">
      <c r="A62" s="590" t="s">
        <v>335</v>
      </c>
      <c r="B62" s="592">
        <f>B61/B59</f>
        <v>0.29638009049773756</v>
      </c>
      <c r="C62" s="586"/>
      <c r="D62" s="587"/>
      <c r="E62" s="587"/>
      <c r="F62" s="587"/>
      <c r="G62" s="582"/>
      <c r="H62" s="31"/>
      <c r="I62" s="31"/>
      <c r="J62" s="31"/>
      <c r="K62" s="31"/>
      <c r="L62" s="31"/>
      <c r="M62" s="31"/>
      <c r="N62" s="562"/>
    </row>
    <row r="63" spans="1:14" s="381" customFormat="1">
      <c r="A63" s="593"/>
      <c r="B63" s="587"/>
      <c r="C63" s="686"/>
      <c r="D63" s="587"/>
      <c r="E63" s="587"/>
      <c r="F63" s="587"/>
      <c r="G63" s="582"/>
      <c r="H63" s="31"/>
      <c r="I63" s="31"/>
      <c r="J63" s="31"/>
      <c r="K63" s="31"/>
      <c r="L63" s="31"/>
      <c r="M63" s="31"/>
      <c r="N63" s="562"/>
    </row>
    <row r="64" spans="1:14" s="381" customFormat="1">
      <c r="A64" s="795" t="s">
        <v>336</v>
      </c>
      <c r="B64" s="796"/>
      <c r="C64" s="796"/>
      <c r="D64" s="796"/>
      <c r="E64" s="796"/>
      <c r="F64" s="796"/>
      <c r="G64" s="582"/>
      <c r="H64" s="31"/>
      <c r="I64" s="31"/>
      <c r="J64" s="31"/>
      <c r="K64" s="31"/>
      <c r="L64" s="31"/>
      <c r="M64" s="31"/>
      <c r="N64" s="562"/>
    </row>
    <row r="65" spans="1:14" s="381" customFormat="1">
      <c r="A65" s="742" t="s">
        <v>676</v>
      </c>
      <c r="B65" s="743"/>
      <c r="C65" s="743"/>
      <c r="D65" s="743"/>
      <c r="E65" s="743"/>
      <c r="F65" s="744"/>
      <c r="G65" s="582"/>
      <c r="H65" s="31"/>
      <c r="I65" s="31"/>
      <c r="J65" s="31"/>
      <c r="K65" s="31"/>
      <c r="L65" s="31"/>
      <c r="M65" s="31"/>
      <c r="N65" s="562"/>
    </row>
    <row r="66" spans="1:14" s="381" customFormat="1">
      <c r="A66" s="594"/>
      <c r="B66" s="595"/>
      <c r="C66" s="595"/>
      <c r="D66" s="595"/>
      <c r="E66" s="595"/>
      <c r="F66" s="595"/>
      <c r="G66" s="582"/>
      <c r="H66" s="31"/>
      <c r="I66" s="31"/>
      <c r="J66" s="31"/>
      <c r="K66" s="31"/>
      <c r="L66" s="31"/>
      <c r="M66" s="31"/>
      <c r="N66" s="562"/>
    </row>
    <row r="67" spans="1:14" s="381" customFormat="1">
      <c r="A67" s="596" t="s">
        <v>337</v>
      </c>
      <c r="B67" s="587"/>
      <c r="C67" s="686"/>
      <c r="D67" s="587"/>
      <c r="E67" s="587"/>
      <c r="F67" s="587"/>
      <c r="G67" s="582"/>
      <c r="H67" s="31"/>
      <c r="I67" s="31"/>
      <c r="J67" s="31"/>
      <c r="K67" s="31"/>
      <c r="L67" s="31"/>
      <c r="M67" s="31"/>
      <c r="N67" s="562"/>
    </row>
    <row r="68" spans="1:14" s="381" customFormat="1" ht="44.75" customHeight="1">
      <c r="A68" s="742" t="s">
        <v>677</v>
      </c>
      <c r="B68" s="743"/>
      <c r="C68" s="743"/>
      <c r="D68" s="743"/>
      <c r="E68" s="743"/>
      <c r="F68" s="744"/>
      <c r="G68" s="582"/>
      <c r="H68" s="31"/>
      <c r="I68" s="31"/>
      <c r="J68" s="31"/>
      <c r="K68" s="31"/>
      <c r="L68" s="31"/>
      <c r="M68" s="31"/>
      <c r="N68" s="562"/>
    </row>
    <row r="69" spans="1:14" s="381" customFormat="1">
      <c r="A69" s="593"/>
      <c r="B69" s="587"/>
      <c r="C69" s="686"/>
      <c r="D69" s="587"/>
      <c r="E69" s="587"/>
      <c r="F69" s="587"/>
      <c r="G69" s="582"/>
      <c r="H69" s="31"/>
      <c r="I69" s="31"/>
      <c r="J69" s="31"/>
      <c r="K69" s="31"/>
      <c r="L69" s="31"/>
      <c r="M69" s="31"/>
      <c r="N69" s="562"/>
    </row>
    <row r="70" spans="1:14" s="381" customFormat="1">
      <c r="A70" s="731" t="s">
        <v>365</v>
      </c>
      <c r="B70" s="732"/>
      <c r="C70" s="732"/>
      <c r="D70" s="732"/>
      <c r="E70" s="732"/>
      <c r="F70" s="732"/>
      <c r="G70" s="582"/>
      <c r="H70" s="31"/>
      <c r="I70" s="31"/>
      <c r="J70" s="31"/>
      <c r="K70" s="31"/>
      <c r="L70" s="31"/>
      <c r="M70" s="31"/>
      <c r="N70" s="562"/>
    </row>
    <row r="71" spans="1:14" s="381" customFormat="1">
      <c r="A71" s="793" t="s">
        <v>461</v>
      </c>
      <c r="B71" s="794"/>
      <c r="C71" s="794"/>
      <c r="D71" s="794"/>
      <c r="E71" s="794"/>
      <c r="F71" s="794"/>
      <c r="G71" s="582"/>
      <c r="H71" s="31"/>
      <c r="I71" s="31"/>
      <c r="J71" s="31"/>
      <c r="K71" s="31"/>
      <c r="L71" s="31"/>
      <c r="M71" s="31"/>
      <c r="N71" s="562"/>
    </row>
    <row r="72" spans="1:14" s="381" customFormat="1" ht="32.700000000000003" customHeight="1">
      <c r="A72" s="742" t="s">
        <v>678</v>
      </c>
      <c r="B72" s="743"/>
      <c r="C72" s="743"/>
      <c r="D72" s="743"/>
      <c r="E72" s="743"/>
      <c r="F72" s="744"/>
      <c r="G72" s="582"/>
      <c r="H72" s="31"/>
      <c r="I72" s="31"/>
      <c r="J72" s="31"/>
      <c r="K72" s="31"/>
      <c r="L72" s="31"/>
      <c r="M72" s="31"/>
      <c r="N72" s="562"/>
    </row>
    <row r="73" spans="1:14" s="381" customFormat="1">
      <c r="A73" s="596"/>
      <c r="B73" s="587"/>
      <c r="C73" s="686"/>
      <c r="D73" s="587"/>
      <c r="E73" s="587"/>
      <c r="F73" s="587"/>
      <c r="G73" s="582"/>
      <c r="H73" s="31"/>
      <c r="I73" s="31"/>
      <c r="J73" s="31"/>
      <c r="K73" s="31"/>
      <c r="L73" s="31"/>
      <c r="M73" s="31"/>
      <c r="N73" s="562"/>
    </row>
    <row r="74" spans="1:14" s="381" customFormat="1">
      <c r="A74" s="795" t="s">
        <v>340</v>
      </c>
      <c r="B74" s="796"/>
      <c r="C74" s="796"/>
      <c r="D74" s="796"/>
      <c r="E74" s="796"/>
      <c r="F74" s="587"/>
      <c r="G74" s="582"/>
      <c r="H74" s="31"/>
      <c r="I74" s="31"/>
      <c r="J74" s="31"/>
      <c r="K74" s="31"/>
      <c r="L74" s="31"/>
      <c r="M74" s="31"/>
      <c r="N74" s="562"/>
    </row>
    <row r="75" spans="1:14" s="381" customFormat="1">
      <c r="A75" s="728" t="s">
        <v>679</v>
      </c>
      <c r="B75" s="729"/>
      <c r="C75" s="729"/>
      <c r="D75" s="729"/>
      <c r="E75" s="729"/>
      <c r="F75" s="730"/>
      <c r="G75" s="582"/>
      <c r="H75" s="31"/>
      <c r="I75" s="31"/>
      <c r="J75" s="31"/>
      <c r="K75" s="31"/>
      <c r="L75" s="31"/>
      <c r="M75" s="31"/>
      <c r="N75" s="562"/>
    </row>
    <row r="76" spans="1:14" s="381" customFormat="1">
      <c r="A76" s="593"/>
      <c r="B76" s="587"/>
      <c r="C76" s="686"/>
      <c r="D76" s="587"/>
      <c r="E76" s="587"/>
      <c r="F76" s="587"/>
      <c r="G76" s="582"/>
      <c r="H76" s="31"/>
      <c r="I76" s="31"/>
      <c r="J76" s="31"/>
      <c r="K76" s="31"/>
      <c r="L76" s="31"/>
      <c r="M76" s="31"/>
      <c r="N76" s="562"/>
    </row>
    <row r="77" spans="1:14" s="381" customFormat="1">
      <c r="A77" s="596" t="s">
        <v>341</v>
      </c>
      <c r="B77" s="587"/>
      <c r="C77" s="686"/>
      <c r="D77" s="587"/>
      <c r="E77" s="587"/>
      <c r="F77" s="587"/>
      <c r="G77" s="582"/>
      <c r="H77" s="31"/>
      <c r="I77" s="31"/>
      <c r="J77" s="31"/>
      <c r="K77" s="31"/>
      <c r="L77" s="31"/>
      <c r="M77" s="31"/>
      <c r="N77" s="562"/>
    </row>
    <row r="78" spans="1:14" s="381" customFormat="1">
      <c r="A78" s="597" t="s">
        <v>342</v>
      </c>
      <c r="B78" s="587"/>
      <c r="C78" s="686"/>
      <c r="D78" s="587"/>
      <c r="E78" s="587"/>
      <c r="F78" s="587"/>
      <c r="G78" s="582"/>
      <c r="H78" s="31"/>
      <c r="I78" s="31"/>
      <c r="J78" s="31"/>
      <c r="K78" s="31"/>
      <c r="L78" s="31"/>
      <c r="M78" s="31"/>
      <c r="N78" s="562"/>
    </row>
    <row r="79" spans="1:14" s="381" customFormat="1" ht="26.2" customHeight="1">
      <c r="A79" s="787" t="s">
        <v>368</v>
      </c>
      <c r="B79" s="788"/>
      <c r="C79" s="788"/>
      <c r="D79" s="788"/>
      <c r="E79" s="788"/>
      <c r="F79" s="788"/>
      <c r="G79" s="582"/>
      <c r="H79" s="31"/>
      <c r="I79" s="31"/>
      <c r="J79" s="31"/>
      <c r="K79" s="31"/>
      <c r="L79" s="31"/>
      <c r="M79" s="31"/>
      <c r="N79" s="562"/>
    </row>
    <row r="80" spans="1:14" s="381" customFormat="1" ht="79.45" customHeight="1">
      <c r="A80" s="742" t="s">
        <v>680</v>
      </c>
      <c r="B80" s="743"/>
      <c r="C80" s="743"/>
      <c r="D80" s="743"/>
      <c r="E80" s="743"/>
      <c r="F80" s="744"/>
      <c r="G80" s="582"/>
      <c r="H80" s="31"/>
      <c r="I80" s="31"/>
      <c r="J80" s="31"/>
      <c r="K80" s="31"/>
      <c r="L80" s="31"/>
      <c r="M80" s="31"/>
      <c r="N80" s="562"/>
    </row>
    <row r="81" spans="1:14" s="381" customFormat="1">
      <c r="A81" s="789"/>
      <c r="B81" s="790"/>
      <c r="C81" s="790"/>
      <c r="D81" s="790"/>
      <c r="E81" s="790"/>
      <c r="F81" s="790"/>
      <c r="G81" s="582"/>
      <c r="H81" s="31"/>
      <c r="I81" s="31"/>
      <c r="J81" s="31"/>
      <c r="K81" s="31"/>
      <c r="L81" s="31"/>
      <c r="M81" s="31"/>
      <c r="N81" s="562"/>
    </row>
    <row r="82" spans="1:14" s="381" customFormat="1">
      <c r="A82" s="597" t="s">
        <v>344</v>
      </c>
      <c r="B82" s="587"/>
      <c r="C82" s="686"/>
      <c r="D82" s="587"/>
      <c r="E82" s="587"/>
      <c r="F82" s="587"/>
      <c r="G82" s="582"/>
      <c r="H82" s="31"/>
      <c r="I82" s="31"/>
      <c r="J82" s="31"/>
      <c r="K82" s="31"/>
      <c r="L82" s="31"/>
      <c r="M82" s="31"/>
      <c r="N82" s="562"/>
    </row>
    <row r="83" spans="1:14" s="381" customFormat="1" ht="28.8" customHeight="1">
      <c r="A83" s="791" t="s">
        <v>345</v>
      </c>
      <c r="B83" s="792"/>
      <c r="C83" s="792"/>
      <c r="D83" s="792"/>
      <c r="E83" s="792"/>
      <c r="F83" s="792"/>
      <c r="G83" s="582"/>
      <c r="H83" s="31"/>
      <c r="I83" s="31"/>
      <c r="J83" s="31"/>
      <c r="K83" s="31"/>
      <c r="L83" s="31"/>
      <c r="M83" s="31"/>
      <c r="N83" s="562"/>
    </row>
    <row r="84" spans="1:14" s="381" customFormat="1">
      <c r="A84" s="728" t="s">
        <v>679</v>
      </c>
      <c r="B84" s="729"/>
      <c r="C84" s="729"/>
      <c r="D84" s="729"/>
      <c r="E84" s="729"/>
      <c r="F84" s="730"/>
      <c r="G84" s="582"/>
      <c r="H84" s="31"/>
      <c r="I84" s="31"/>
      <c r="J84" s="31"/>
      <c r="K84" s="31"/>
      <c r="L84" s="31"/>
      <c r="M84" s="31"/>
      <c r="N84" s="562"/>
    </row>
    <row r="85" spans="1:14" s="381" customFormat="1" ht="15.6" thickBot="1">
      <c r="A85" s="598"/>
      <c r="B85" s="599"/>
      <c r="C85" s="600"/>
      <c r="D85" s="599"/>
      <c r="E85" s="599"/>
      <c r="F85" s="599"/>
      <c r="G85" s="601"/>
      <c r="H85" s="31"/>
      <c r="I85" s="31"/>
      <c r="J85" s="31"/>
      <c r="K85" s="31"/>
      <c r="L85" s="31"/>
      <c r="M85" s="31"/>
      <c r="N85" s="562"/>
    </row>
    <row r="86" spans="1:14" s="381" customFormat="1">
      <c r="A86" s="31"/>
      <c r="B86" s="31"/>
      <c r="C86" s="32"/>
      <c r="D86" s="31"/>
      <c r="E86" s="31"/>
      <c r="F86" s="31"/>
      <c r="G86" s="31"/>
      <c r="H86" s="31"/>
      <c r="I86" s="31"/>
      <c r="J86" s="31"/>
      <c r="K86" s="31"/>
      <c r="L86" s="31"/>
      <c r="M86" s="31"/>
      <c r="N86" s="562"/>
    </row>
    <row r="87" spans="1:14" s="381" customFormat="1">
      <c r="C87" s="687"/>
    </row>
    <row r="88" spans="1:14" s="381" customFormat="1">
      <c r="C88" s="687"/>
    </row>
    <row r="89" spans="1:14" s="381" customFormat="1">
      <c r="C89" s="687"/>
    </row>
    <row r="90" spans="1:14" s="381" customFormat="1">
      <c r="C90" s="687"/>
    </row>
    <row r="91" spans="1:14" s="381" customFormat="1">
      <c r="C91" s="687"/>
    </row>
    <row r="92" spans="1:14" s="381" customFormat="1">
      <c r="C92" s="687"/>
    </row>
    <row r="93" spans="1:14" s="381" customFormat="1">
      <c r="C93" s="687"/>
    </row>
    <row r="94" spans="1:14" s="381" customFormat="1">
      <c r="C94" s="687"/>
    </row>
  </sheetData>
  <mergeCells count="26">
    <mergeCell ref="A52:D52"/>
    <mergeCell ref="A51:D51"/>
    <mergeCell ref="A46:D46"/>
    <mergeCell ref="A42:D42"/>
    <mergeCell ref="A1:N1"/>
    <mergeCell ref="A40:E40"/>
    <mergeCell ref="A43:D43"/>
    <mergeCell ref="A44:D44"/>
    <mergeCell ref="A41:D41"/>
    <mergeCell ref="A45:D45"/>
    <mergeCell ref="A56:F56"/>
    <mergeCell ref="A57:F57"/>
    <mergeCell ref="A58:B58"/>
    <mergeCell ref="A64:F64"/>
    <mergeCell ref="A65:F65"/>
    <mergeCell ref="A68:F68"/>
    <mergeCell ref="A70:F70"/>
    <mergeCell ref="A71:F71"/>
    <mergeCell ref="A72:F72"/>
    <mergeCell ref="A74:E74"/>
    <mergeCell ref="A84:F84"/>
    <mergeCell ref="A75:F75"/>
    <mergeCell ref="A79:F79"/>
    <mergeCell ref="A80:F80"/>
    <mergeCell ref="A81:F81"/>
    <mergeCell ref="A83:F83"/>
  </mergeCells>
  <printOptions horizontalCentered="1"/>
  <pageMargins left="0.2" right="0.2" top="0.75" bottom="0.75" header="0.3" footer="0.3"/>
  <pageSetup scale="67" orientation="landscape" r:id="rId1"/>
  <headerFooter>
    <oddHeader xml:space="preserve">&amp;CDRAFT NOT FOR DISTRIBUTION, INTERNAL USE ONLY
</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sheetPr>
  <dimension ref="A1:N75"/>
  <sheetViews>
    <sheetView workbookViewId="0">
      <selection sqref="A1:N1"/>
    </sheetView>
  </sheetViews>
  <sheetFormatPr defaultColWidth="9.140625" defaultRowHeight="14.85"/>
  <cols>
    <col min="1" max="1" width="50.42578125" style="381" customWidth="1"/>
    <col min="2" max="2" width="16" style="381" customWidth="1"/>
    <col min="3" max="3" width="7.7109375" style="470" customWidth="1"/>
    <col min="4" max="4" width="15.7109375" style="38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ustomWidth="1"/>
    <col min="14" max="14" width="52" style="381" bestFit="1" customWidth="1"/>
    <col min="15" max="16384" width="9.140625" style="381"/>
  </cols>
  <sheetData>
    <row r="1" spans="1:14" ht="15.6">
      <c r="A1" s="745" t="s">
        <v>681</v>
      </c>
      <c r="B1" s="745"/>
      <c r="C1" s="745"/>
      <c r="D1" s="745"/>
      <c r="E1" s="745"/>
      <c r="F1" s="745"/>
      <c r="G1" s="745"/>
      <c r="H1" s="745"/>
      <c r="I1" s="745"/>
      <c r="J1" s="745"/>
      <c r="K1" s="745"/>
      <c r="L1" s="745"/>
      <c r="M1" s="745"/>
      <c r="N1" s="745"/>
    </row>
    <row r="2" spans="1:14">
      <c r="A2" s="65" t="s">
        <v>645</v>
      </c>
      <c r="C2" s="687"/>
    </row>
    <row r="3" spans="1:14">
      <c r="A3" s="68" t="s">
        <v>682</v>
      </c>
      <c r="C3" s="687"/>
      <c r="D3" s="29"/>
      <c r="E3" s="554" t="s">
        <v>275</v>
      </c>
      <c r="F3" s="457"/>
      <c r="G3" s="29"/>
    </row>
    <row r="4" spans="1:14">
      <c r="A4" s="31"/>
      <c r="B4" s="31"/>
      <c r="C4" s="32"/>
      <c r="D4" s="31"/>
      <c r="E4" s="3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30.25" customHeight="1">
      <c r="A7" s="36" t="s">
        <v>286</v>
      </c>
      <c r="B7" s="36"/>
      <c r="C7" s="37" t="s">
        <v>287</v>
      </c>
      <c r="D7" s="39"/>
      <c r="E7" s="263">
        <v>0</v>
      </c>
      <c r="F7" s="309">
        <f t="shared" ref="F7:F14" si="0">SUM(G7:M7)</f>
        <v>0</v>
      </c>
      <c r="G7" s="310">
        <v>0</v>
      </c>
      <c r="H7" s="310">
        <v>0</v>
      </c>
      <c r="I7" s="310">
        <v>0</v>
      </c>
      <c r="J7" s="310">
        <v>0</v>
      </c>
      <c r="K7" s="310">
        <v>0</v>
      </c>
      <c r="L7" s="310">
        <v>0</v>
      </c>
      <c r="M7" s="311">
        <v>0</v>
      </c>
      <c r="N7" s="325"/>
    </row>
    <row r="8" spans="1:14" ht="15.05" customHeight="1">
      <c r="A8" s="36" t="s">
        <v>286</v>
      </c>
      <c r="B8" s="36"/>
      <c r="C8" s="37" t="s">
        <v>287</v>
      </c>
      <c r="D8" s="39"/>
      <c r="E8" s="263">
        <v>0</v>
      </c>
      <c r="F8" s="309">
        <f t="shared" si="0"/>
        <v>0</v>
      </c>
      <c r="G8" s="310">
        <v>0</v>
      </c>
      <c r="H8" s="310">
        <v>0</v>
      </c>
      <c r="I8" s="310">
        <v>0</v>
      </c>
      <c r="J8" s="310">
        <v>0</v>
      </c>
      <c r="K8" s="310">
        <v>0</v>
      </c>
      <c r="L8" s="310">
        <v>0</v>
      </c>
      <c r="M8" s="311">
        <v>0</v>
      </c>
      <c r="N8" s="325"/>
    </row>
    <row r="9" spans="1:14">
      <c r="A9" s="36" t="s">
        <v>286</v>
      </c>
      <c r="B9" s="264"/>
      <c r="C9" s="37" t="s">
        <v>287</v>
      </c>
      <c r="D9" s="39"/>
      <c r="E9" s="263">
        <v>0</v>
      </c>
      <c r="F9" s="309">
        <f t="shared" si="0"/>
        <v>0</v>
      </c>
      <c r="G9" s="310">
        <v>0</v>
      </c>
      <c r="H9" s="310">
        <v>0</v>
      </c>
      <c r="I9" s="310">
        <v>0</v>
      </c>
      <c r="J9" s="310">
        <v>0</v>
      </c>
      <c r="K9" s="310">
        <v>0</v>
      </c>
      <c r="L9" s="310">
        <v>0</v>
      </c>
      <c r="M9" s="311">
        <v>0</v>
      </c>
      <c r="N9" s="32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27"/>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5"/>
      <c r="C14" s="37" t="s">
        <v>287</v>
      </c>
      <c r="D14" s="39"/>
      <c r="E14" s="263">
        <v>0</v>
      </c>
      <c r="F14" s="309">
        <f t="shared" si="0"/>
        <v>0</v>
      </c>
      <c r="G14" s="310">
        <v>0</v>
      </c>
      <c r="H14" s="310">
        <v>0</v>
      </c>
      <c r="I14" s="310">
        <v>0</v>
      </c>
      <c r="J14" s="310">
        <v>0</v>
      </c>
      <c r="K14" s="310">
        <v>0</v>
      </c>
      <c r="L14" s="310">
        <v>0</v>
      </c>
      <c r="M14" s="311">
        <v>0</v>
      </c>
      <c r="N14" s="355"/>
    </row>
    <row r="15" spans="1:14">
      <c r="A15" s="40" t="s">
        <v>288</v>
      </c>
      <c r="B15" s="265"/>
      <c r="C15" s="266"/>
      <c r="D15" s="41">
        <f t="shared" ref="D15:M15" si="1">SUM(D7:D14)</f>
        <v>0</v>
      </c>
      <c r="E15" s="42">
        <f t="shared" si="1"/>
        <v>0</v>
      </c>
      <c r="F15" s="43">
        <f t="shared" si="1"/>
        <v>0</v>
      </c>
      <c r="G15" s="43">
        <f t="shared" si="1"/>
        <v>0</v>
      </c>
      <c r="H15" s="43">
        <f t="shared" si="1"/>
        <v>0</v>
      </c>
      <c r="I15" s="43">
        <f t="shared" si="1"/>
        <v>0</v>
      </c>
      <c r="J15" s="43">
        <f t="shared" si="1"/>
        <v>0</v>
      </c>
      <c r="K15" s="43">
        <f t="shared" si="1"/>
        <v>0</v>
      </c>
      <c r="L15" s="43">
        <f t="shared" si="1"/>
        <v>0</v>
      </c>
      <c r="M15" s="43">
        <f t="shared" si="1"/>
        <v>0</v>
      </c>
      <c r="N15" s="254"/>
    </row>
    <row r="16" spans="1:14">
      <c r="A16" s="69" t="s">
        <v>289</v>
      </c>
      <c r="B16" s="70"/>
      <c r="C16" s="71"/>
      <c r="D16" s="70"/>
      <c r="E16" s="70"/>
      <c r="F16" s="72"/>
      <c r="G16" s="72"/>
      <c r="H16" s="72"/>
      <c r="I16" s="72"/>
      <c r="J16" s="72"/>
      <c r="K16" s="72"/>
      <c r="L16" s="72"/>
      <c r="M16" s="72"/>
      <c r="N16" s="72"/>
    </row>
    <row r="17" spans="1:14" ht="29.7">
      <c r="A17" s="264" t="s">
        <v>683</v>
      </c>
      <c r="B17" s="264" t="s">
        <v>373</v>
      </c>
      <c r="C17" s="44">
        <v>253</v>
      </c>
      <c r="D17" s="39"/>
      <c r="E17" s="263">
        <v>0</v>
      </c>
      <c r="F17" s="357">
        <f>SUM(G17:M17)</f>
        <v>50</v>
      </c>
      <c r="G17" s="310">
        <v>0</v>
      </c>
      <c r="H17" s="310">
        <v>0</v>
      </c>
      <c r="I17" s="310">
        <v>0</v>
      </c>
      <c r="J17" s="310">
        <v>0</v>
      </c>
      <c r="K17" s="310">
        <v>0</v>
      </c>
      <c r="L17" s="310">
        <v>50</v>
      </c>
      <c r="M17" s="311">
        <v>0</v>
      </c>
      <c r="N17" s="327" t="s">
        <v>684</v>
      </c>
    </row>
    <row r="18" spans="1:14" ht="400.85">
      <c r="A18" s="264" t="s">
        <v>685</v>
      </c>
      <c r="B18" s="264" t="s">
        <v>660</v>
      </c>
      <c r="C18" s="44">
        <v>253</v>
      </c>
      <c r="D18" s="45"/>
      <c r="E18" s="263">
        <v>0</v>
      </c>
      <c r="F18" s="357">
        <f>SUM(G18:M18)</f>
        <v>25</v>
      </c>
      <c r="G18" s="310">
        <v>0</v>
      </c>
      <c r="H18" s="310">
        <v>0</v>
      </c>
      <c r="I18" s="310">
        <v>0</v>
      </c>
      <c r="J18" s="310">
        <v>0</v>
      </c>
      <c r="K18" s="310">
        <v>0</v>
      </c>
      <c r="L18" s="310">
        <v>25</v>
      </c>
      <c r="M18" s="311">
        <v>0</v>
      </c>
      <c r="N18" s="545" t="s">
        <v>686</v>
      </c>
    </row>
    <row r="19" spans="1:14" ht="29.7">
      <c r="A19" s="264" t="s">
        <v>355</v>
      </c>
      <c r="B19" s="264" t="s">
        <v>657</v>
      </c>
      <c r="C19" s="44">
        <v>253</v>
      </c>
      <c r="D19" s="267"/>
      <c r="E19" s="263">
        <v>0</v>
      </c>
      <c r="F19" s="357">
        <f>SUM(G19:M19)</f>
        <v>358</v>
      </c>
      <c r="G19" s="310">
        <v>0</v>
      </c>
      <c r="H19" s="310">
        <v>0</v>
      </c>
      <c r="I19" s="310"/>
      <c r="J19" s="310">
        <v>0</v>
      </c>
      <c r="K19" s="310">
        <f>227-100</f>
        <v>127</v>
      </c>
      <c r="L19" s="310">
        <f>100+131</f>
        <v>231</v>
      </c>
      <c r="M19" s="311">
        <v>0</v>
      </c>
      <c r="N19" s="545" t="s">
        <v>658</v>
      </c>
    </row>
    <row r="20" spans="1:14" s="358" customFormat="1">
      <c r="A20" s="264" t="s">
        <v>355</v>
      </c>
      <c r="B20" s="264"/>
      <c r="C20" s="44">
        <v>253</v>
      </c>
      <c r="D20" s="267"/>
      <c r="E20" s="263">
        <v>0</v>
      </c>
      <c r="F20" s="357">
        <f>SUM(G20:M20)</f>
        <v>0</v>
      </c>
      <c r="G20" s="310">
        <v>0</v>
      </c>
      <c r="H20" s="310">
        <v>0</v>
      </c>
      <c r="I20" s="310">
        <v>0</v>
      </c>
      <c r="J20" s="310">
        <v>0</v>
      </c>
      <c r="K20" s="310">
        <v>0</v>
      </c>
      <c r="L20" s="310">
        <v>0</v>
      </c>
      <c r="M20" s="311">
        <v>0</v>
      </c>
      <c r="N20" s="326"/>
    </row>
    <row r="21" spans="1:14">
      <c r="A21" s="40" t="s">
        <v>294</v>
      </c>
      <c r="B21" s="265"/>
      <c r="C21" s="266"/>
      <c r="D21" s="267">
        <f t="shared" ref="D21:M21" si="2">SUM(D17:D20)</f>
        <v>0</v>
      </c>
      <c r="E21" s="42">
        <f t="shared" si="2"/>
        <v>0</v>
      </c>
      <c r="F21" s="43">
        <f t="shared" si="2"/>
        <v>433</v>
      </c>
      <c r="G21" s="43">
        <f t="shared" si="2"/>
        <v>0</v>
      </c>
      <c r="H21" s="43">
        <f t="shared" si="2"/>
        <v>0</v>
      </c>
      <c r="I21" s="43">
        <f t="shared" si="2"/>
        <v>0</v>
      </c>
      <c r="J21" s="43">
        <f t="shared" si="2"/>
        <v>0</v>
      </c>
      <c r="K21" s="43">
        <f t="shared" si="2"/>
        <v>127</v>
      </c>
      <c r="L21" s="43">
        <f t="shared" si="2"/>
        <v>306</v>
      </c>
      <c r="M21" s="43">
        <f t="shared" si="2"/>
        <v>0</v>
      </c>
      <c r="N21" s="355"/>
    </row>
    <row r="22" spans="1:14" s="358" customFormat="1">
      <c r="A22" s="127" t="s">
        <v>295</v>
      </c>
      <c r="B22" s="128"/>
      <c r="C22" s="128"/>
      <c r="D22" s="128"/>
      <c r="E22" s="89"/>
      <c r="F22" s="89"/>
      <c r="G22" s="89"/>
      <c r="H22" s="89"/>
      <c r="I22" s="89"/>
      <c r="J22" s="89"/>
      <c r="K22" s="89"/>
      <c r="L22" s="89"/>
      <c r="M22" s="89"/>
      <c r="N22" s="130"/>
    </row>
    <row r="23" spans="1:14" ht="15.05" customHeight="1">
      <c r="A23" s="264" t="s">
        <v>296</v>
      </c>
      <c r="B23" s="36"/>
      <c r="C23" s="37" t="s">
        <v>297</v>
      </c>
      <c r="D23" s="38">
        <v>0</v>
      </c>
      <c r="E23" s="263">
        <v>0</v>
      </c>
      <c r="F23" s="357">
        <f t="shared" ref="F23:F34" si="3">SUM(G23:M23)</f>
        <v>0</v>
      </c>
      <c r="G23" s="310">
        <v>0</v>
      </c>
      <c r="H23" s="310">
        <v>0</v>
      </c>
      <c r="I23" s="310">
        <v>0</v>
      </c>
      <c r="J23" s="310">
        <v>0</v>
      </c>
      <c r="K23" s="310">
        <v>0</v>
      </c>
      <c r="L23" s="310">
        <v>0</v>
      </c>
      <c r="M23" s="311">
        <v>0</v>
      </c>
      <c r="N23" s="325"/>
    </row>
    <row r="24" spans="1:14">
      <c r="A24" s="264" t="s">
        <v>298</v>
      </c>
      <c r="B24" s="36"/>
      <c r="C24" s="44" t="s">
        <v>299</v>
      </c>
      <c r="D24" s="45"/>
      <c r="E24" s="263">
        <v>0</v>
      </c>
      <c r="F24" s="357">
        <f t="shared" si="3"/>
        <v>0</v>
      </c>
      <c r="G24" s="310">
        <v>0</v>
      </c>
      <c r="H24" s="310">
        <v>0</v>
      </c>
      <c r="I24" s="310">
        <v>0</v>
      </c>
      <c r="J24" s="310">
        <v>0</v>
      </c>
      <c r="K24" s="310">
        <v>0</v>
      </c>
      <c r="L24" s="310">
        <v>0</v>
      </c>
      <c r="M24" s="311">
        <v>0</v>
      </c>
      <c r="N24" s="355"/>
    </row>
    <row r="25" spans="1:14">
      <c r="A25" s="264" t="s">
        <v>300</v>
      </c>
      <c r="B25" s="36"/>
      <c r="C25" s="44" t="s">
        <v>301</v>
      </c>
      <c r="D25" s="45"/>
      <c r="E25" s="263">
        <v>0</v>
      </c>
      <c r="F25" s="357">
        <f t="shared" si="3"/>
        <v>0</v>
      </c>
      <c r="G25" s="310">
        <v>0</v>
      </c>
      <c r="H25" s="310">
        <v>0</v>
      </c>
      <c r="I25" s="310">
        <v>0</v>
      </c>
      <c r="J25" s="310">
        <v>0</v>
      </c>
      <c r="K25" s="310">
        <v>0</v>
      </c>
      <c r="L25" s="310">
        <v>0</v>
      </c>
      <c r="M25" s="311">
        <v>0</v>
      </c>
      <c r="N25" s="355"/>
    </row>
    <row r="26" spans="1:14">
      <c r="A26" s="264" t="s">
        <v>302</v>
      </c>
      <c r="B26" s="36"/>
      <c r="C26" s="44" t="s">
        <v>303</v>
      </c>
      <c r="D26" s="45"/>
      <c r="E26" s="263">
        <v>0</v>
      </c>
      <c r="F26" s="357">
        <f t="shared" si="3"/>
        <v>0</v>
      </c>
      <c r="G26" s="310">
        <v>0</v>
      </c>
      <c r="H26" s="310">
        <v>0</v>
      </c>
      <c r="I26" s="310">
        <v>0</v>
      </c>
      <c r="J26" s="310">
        <v>0</v>
      </c>
      <c r="K26" s="310">
        <v>0</v>
      </c>
      <c r="L26" s="310">
        <v>0</v>
      </c>
      <c r="M26" s="311">
        <v>0</v>
      </c>
      <c r="N26" s="355"/>
    </row>
    <row r="27" spans="1:14">
      <c r="A27" s="264" t="s">
        <v>304</v>
      </c>
      <c r="B27" s="36"/>
      <c r="C27" s="44">
        <v>251</v>
      </c>
      <c r="D27" s="45"/>
      <c r="E27" s="263">
        <v>0</v>
      </c>
      <c r="F27" s="357">
        <f t="shared" si="3"/>
        <v>0</v>
      </c>
      <c r="G27" s="310">
        <v>0</v>
      </c>
      <c r="H27" s="310">
        <v>0</v>
      </c>
      <c r="I27" s="310">
        <v>0</v>
      </c>
      <c r="J27" s="310">
        <v>0</v>
      </c>
      <c r="K27" s="310">
        <v>0</v>
      </c>
      <c r="L27" s="310">
        <v>0</v>
      </c>
      <c r="M27" s="311">
        <v>0</v>
      </c>
      <c r="N27" s="355"/>
    </row>
    <row r="28" spans="1:14">
      <c r="A28" s="264" t="s">
        <v>313</v>
      </c>
      <c r="B28" s="36"/>
      <c r="C28" s="44">
        <v>252</v>
      </c>
      <c r="D28" s="45"/>
      <c r="E28" s="263">
        <v>0</v>
      </c>
      <c r="F28" s="357">
        <f t="shared" si="3"/>
        <v>0</v>
      </c>
      <c r="G28" s="310">
        <v>0</v>
      </c>
      <c r="H28" s="310">
        <v>0</v>
      </c>
      <c r="I28" s="310">
        <v>0</v>
      </c>
      <c r="J28" s="310">
        <v>0</v>
      </c>
      <c r="K28" s="310">
        <v>0</v>
      </c>
      <c r="L28" s="310">
        <v>0</v>
      </c>
      <c r="M28" s="311">
        <v>0</v>
      </c>
      <c r="N28" s="355"/>
    </row>
    <row r="29" spans="1:14">
      <c r="A29" s="264" t="s">
        <v>314</v>
      </c>
      <c r="B29" s="36"/>
      <c r="C29" s="44">
        <v>252</v>
      </c>
      <c r="D29" s="45"/>
      <c r="E29" s="263">
        <v>0</v>
      </c>
      <c r="F29" s="357">
        <f t="shared" si="3"/>
        <v>0</v>
      </c>
      <c r="G29" s="310">
        <v>0</v>
      </c>
      <c r="H29" s="310">
        <v>0</v>
      </c>
      <c r="I29" s="310">
        <v>0</v>
      </c>
      <c r="J29" s="310">
        <v>0</v>
      </c>
      <c r="K29" s="310">
        <v>0</v>
      </c>
      <c r="L29" s="310">
        <v>0</v>
      </c>
      <c r="M29" s="311">
        <v>0</v>
      </c>
      <c r="N29" s="355"/>
    </row>
    <row r="30" spans="1:14">
      <c r="A30" s="73" t="s">
        <v>687</v>
      </c>
      <c r="B30" s="36"/>
      <c r="C30" s="44">
        <v>253</v>
      </c>
      <c r="D30" s="264"/>
      <c r="E30" s="263">
        <v>0</v>
      </c>
      <c r="F30" s="357">
        <f t="shared" si="3"/>
        <v>0</v>
      </c>
      <c r="G30" s="310">
        <v>0</v>
      </c>
      <c r="H30" s="310">
        <v>0</v>
      </c>
      <c r="I30" s="310">
        <v>0</v>
      </c>
      <c r="J30" s="310">
        <v>0</v>
      </c>
      <c r="K30" s="310">
        <v>0</v>
      </c>
      <c r="L30" s="310">
        <v>0</v>
      </c>
      <c r="M30" s="311">
        <v>0</v>
      </c>
      <c r="N30" s="325"/>
    </row>
    <row r="31" spans="1:14">
      <c r="A31" s="264" t="s">
        <v>316</v>
      </c>
      <c r="B31" s="36"/>
      <c r="C31" s="44">
        <v>255</v>
      </c>
      <c r="D31" s="264"/>
      <c r="E31" s="263">
        <v>0</v>
      </c>
      <c r="F31" s="357">
        <f t="shared" si="3"/>
        <v>0</v>
      </c>
      <c r="G31" s="310">
        <v>0</v>
      </c>
      <c r="H31" s="310">
        <v>0</v>
      </c>
      <c r="I31" s="310">
        <v>0</v>
      </c>
      <c r="J31" s="310">
        <v>0</v>
      </c>
      <c r="K31" s="310">
        <v>0</v>
      </c>
      <c r="L31" s="310">
        <v>0</v>
      </c>
      <c r="M31" s="311">
        <v>0</v>
      </c>
      <c r="N31" s="355"/>
    </row>
    <row r="32" spans="1:14">
      <c r="A32" s="264" t="s">
        <v>317</v>
      </c>
      <c r="B32" s="36"/>
      <c r="C32" s="44">
        <v>256</v>
      </c>
      <c r="D32" s="264"/>
      <c r="E32" s="263">
        <v>0</v>
      </c>
      <c r="F32" s="357">
        <f t="shared" si="3"/>
        <v>0</v>
      </c>
      <c r="G32" s="310">
        <v>0</v>
      </c>
      <c r="H32" s="310">
        <v>0</v>
      </c>
      <c r="I32" s="310">
        <v>0</v>
      </c>
      <c r="J32" s="310">
        <v>0</v>
      </c>
      <c r="K32" s="310">
        <v>0</v>
      </c>
      <c r="L32" s="310">
        <v>0</v>
      </c>
      <c r="M32" s="311">
        <v>0</v>
      </c>
      <c r="N32" s="355"/>
    </row>
    <row r="33" spans="1:14">
      <c r="A33" s="92" t="s">
        <v>318</v>
      </c>
      <c r="B33" s="36"/>
      <c r="C33" s="44">
        <v>257</v>
      </c>
      <c r="D33" s="264"/>
      <c r="E33" s="263">
        <v>0</v>
      </c>
      <c r="F33" s="357">
        <f t="shared" si="3"/>
        <v>0</v>
      </c>
      <c r="G33" s="310">
        <v>0</v>
      </c>
      <c r="H33" s="310">
        <v>0</v>
      </c>
      <c r="I33" s="310">
        <v>0</v>
      </c>
      <c r="J33" s="310">
        <v>0</v>
      </c>
      <c r="K33" s="310">
        <v>0</v>
      </c>
      <c r="L33" s="310">
        <v>0</v>
      </c>
      <c r="M33" s="311">
        <v>0</v>
      </c>
      <c r="N33" s="355"/>
    </row>
    <row r="34" spans="1:14">
      <c r="A34" s="264" t="s">
        <v>319</v>
      </c>
      <c r="B34" s="36"/>
      <c r="C34" s="44" t="s">
        <v>320</v>
      </c>
      <c r="D34" s="264"/>
      <c r="E34" s="263">
        <v>0</v>
      </c>
      <c r="F34" s="357">
        <f t="shared" si="3"/>
        <v>0</v>
      </c>
      <c r="G34" s="310">
        <v>0</v>
      </c>
      <c r="H34" s="310">
        <v>0</v>
      </c>
      <c r="I34" s="310">
        <v>0</v>
      </c>
      <c r="J34" s="310">
        <v>0</v>
      </c>
      <c r="K34" s="310">
        <v>0</v>
      </c>
      <c r="L34" s="310">
        <v>0</v>
      </c>
      <c r="M34" s="311">
        <v>0</v>
      </c>
      <c r="N34" s="355"/>
    </row>
    <row r="35" spans="1:14">
      <c r="A35" s="265" t="s">
        <v>321</v>
      </c>
      <c r="B35" s="36"/>
      <c r="C35" s="266" t="s">
        <v>322</v>
      </c>
      <c r="D35" s="265"/>
      <c r="E35" s="263">
        <v>0</v>
      </c>
      <c r="F35" s="309">
        <f>SUM(G35:M35)</f>
        <v>0</v>
      </c>
      <c r="G35" s="310">
        <v>0</v>
      </c>
      <c r="H35" s="310">
        <v>0</v>
      </c>
      <c r="I35" s="310">
        <v>0</v>
      </c>
      <c r="J35" s="310">
        <v>0</v>
      </c>
      <c r="K35" s="310">
        <v>0</v>
      </c>
      <c r="L35" s="310">
        <v>0</v>
      </c>
      <c r="M35" s="311">
        <v>0</v>
      </c>
      <c r="N35" s="355"/>
    </row>
    <row r="36" spans="1:14">
      <c r="A36" s="40" t="s">
        <v>326</v>
      </c>
      <c r="B36" s="265"/>
      <c r="C36" s="266"/>
      <c r="D36" s="267"/>
      <c r="E36" s="42">
        <f>SUM(E23:E35)</f>
        <v>0</v>
      </c>
      <c r="F36" s="43">
        <f t="shared" ref="F36:M36" si="4">SUM(F23:F35)</f>
        <v>0</v>
      </c>
      <c r="G36" s="43">
        <f t="shared" si="4"/>
        <v>0</v>
      </c>
      <c r="H36" s="43">
        <f t="shared" si="4"/>
        <v>0</v>
      </c>
      <c r="I36" s="43">
        <f t="shared" si="4"/>
        <v>0</v>
      </c>
      <c r="J36" s="43">
        <f t="shared" si="4"/>
        <v>0</v>
      </c>
      <c r="K36" s="43">
        <f t="shared" si="4"/>
        <v>0</v>
      </c>
      <c r="L36" s="43">
        <f t="shared" si="4"/>
        <v>0</v>
      </c>
      <c r="M36" s="43">
        <f t="shared" si="4"/>
        <v>0</v>
      </c>
      <c r="N36" s="355"/>
    </row>
    <row r="37" spans="1:14" ht="29.7">
      <c r="A37" s="40" t="s">
        <v>327</v>
      </c>
      <c r="B37" s="51"/>
      <c r="C37" s="149"/>
      <c r="D37" s="267"/>
      <c r="E37" s="241"/>
      <c r="F37" s="240">
        <f>SUM(G37:M37)</f>
        <v>358</v>
      </c>
      <c r="G37" s="240"/>
      <c r="H37" s="240">
        <v>0</v>
      </c>
      <c r="I37" s="240"/>
      <c r="J37" s="240"/>
      <c r="K37" s="240">
        <v>127</v>
      </c>
      <c r="L37" s="240">
        <v>231</v>
      </c>
      <c r="M37" s="240"/>
      <c r="N37" s="325" t="s">
        <v>1361</v>
      </c>
    </row>
    <row r="38" spans="1:14">
      <c r="A38" s="40" t="s">
        <v>328</v>
      </c>
      <c r="B38" s="46"/>
      <c r="C38" s="47"/>
      <c r="D38" s="48">
        <f>D36+D21+D15</f>
        <v>0</v>
      </c>
      <c r="E38" s="42">
        <f t="shared" ref="E38:M38" si="5">E36+E21+E15-E37</f>
        <v>0</v>
      </c>
      <c r="F38" s="17">
        <f t="shared" si="5"/>
        <v>75</v>
      </c>
      <c r="G38" s="17">
        <f t="shared" si="5"/>
        <v>0</v>
      </c>
      <c r="H38" s="17">
        <f t="shared" si="5"/>
        <v>0</v>
      </c>
      <c r="I38" s="17">
        <f t="shared" si="5"/>
        <v>0</v>
      </c>
      <c r="J38" s="17">
        <f t="shared" si="5"/>
        <v>0</v>
      </c>
      <c r="K38" s="17">
        <f t="shared" si="5"/>
        <v>0</v>
      </c>
      <c r="L38" s="17">
        <f t="shared" si="5"/>
        <v>75</v>
      </c>
      <c r="M38" s="17">
        <f t="shared" si="5"/>
        <v>0</v>
      </c>
      <c r="N38" s="353"/>
    </row>
    <row r="40" spans="1:14">
      <c r="A40" s="806" t="s">
        <v>569</v>
      </c>
      <c r="B40" s="807"/>
      <c r="C40" s="807"/>
      <c r="D40" s="807"/>
      <c r="E40" s="808"/>
      <c r="F40" s="309" t="s">
        <v>570</v>
      </c>
      <c r="G40" s="310" t="s">
        <v>0</v>
      </c>
      <c r="H40" s="310" t="s">
        <v>1</v>
      </c>
      <c r="I40" s="310" t="s">
        <v>2</v>
      </c>
      <c r="J40" s="310" t="s">
        <v>3</v>
      </c>
      <c r="K40" s="310" t="s">
        <v>4</v>
      </c>
      <c r="L40" s="310" t="s">
        <v>34</v>
      </c>
      <c r="M40" s="311"/>
      <c r="N40" s="355" t="s">
        <v>284</v>
      </c>
    </row>
    <row r="41" spans="1:14">
      <c r="A41" s="809" t="s">
        <v>688</v>
      </c>
      <c r="B41" s="810"/>
      <c r="C41" s="810"/>
      <c r="D41" s="811"/>
      <c r="E41" s="91"/>
      <c r="F41" s="88"/>
      <c r="G41" s="90"/>
      <c r="H41" s="90"/>
      <c r="I41" s="90"/>
      <c r="J41" s="90"/>
      <c r="K41" s="90"/>
      <c r="L41" s="90"/>
      <c r="M41" s="88"/>
      <c r="N41" s="89"/>
    </row>
    <row r="42" spans="1:14">
      <c r="A42" s="803" t="s">
        <v>689</v>
      </c>
      <c r="B42" s="804"/>
      <c r="C42" s="804"/>
      <c r="D42" s="805"/>
      <c r="E42" s="263"/>
      <c r="F42" s="309">
        <f>+F17</f>
        <v>50</v>
      </c>
      <c r="G42" s="310">
        <f>+F42</f>
        <v>50</v>
      </c>
      <c r="H42" s="310">
        <v>0</v>
      </c>
      <c r="I42" s="310">
        <v>0</v>
      </c>
      <c r="J42" s="310">
        <v>0</v>
      </c>
      <c r="K42" s="310"/>
      <c r="L42" s="310"/>
      <c r="M42" s="311">
        <f>ROUND($F42*J$20,0)</f>
        <v>0</v>
      </c>
      <c r="N42" s="355"/>
    </row>
    <row r="43" spans="1:14">
      <c r="A43" s="803" t="s">
        <v>690</v>
      </c>
      <c r="B43" s="804"/>
      <c r="C43" s="804"/>
      <c r="D43" s="805"/>
      <c r="E43" s="263"/>
      <c r="F43" s="309">
        <f>F18</f>
        <v>25</v>
      </c>
      <c r="G43" s="310">
        <v>5</v>
      </c>
      <c r="H43" s="310">
        <v>10</v>
      </c>
      <c r="I43" s="310">
        <v>5</v>
      </c>
      <c r="J43" s="310">
        <v>5</v>
      </c>
      <c r="K43" s="310"/>
      <c r="L43" s="310"/>
      <c r="M43" s="311">
        <f>ROUND($F43*J$20,0)</f>
        <v>0</v>
      </c>
      <c r="N43" s="355"/>
    </row>
    <row r="44" spans="1:14">
      <c r="A44" s="803" t="s">
        <v>665</v>
      </c>
      <c r="B44" s="804"/>
      <c r="C44" s="804"/>
      <c r="D44" s="805"/>
      <c r="E44" s="263"/>
      <c r="F44" s="309">
        <f>+F19-F37</f>
        <v>0</v>
      </c>
      <c r="G44" s="310">
        <f>ROUND(((3857/22000)*0),2)</f>
        <v>0</v>
      </c>
      <c r="H44" s="310">
        <f>ROUND(((8699/22000)*0),2)</f>
        <v>0</v>
      </c>
      <c r="I44" s="310">
        <f>ROUND(((5721/22000)*0),2)</f>
        <v>0</v>
      </c>
      <c r="J44" s="310">
        <f>ROUND(((3723/22000)*0),2)</f>
        <v>0</v>
      </c>
      <c r="K44" s="310"/>
      <c r="L44" s="310"/>
      <c r="M44" s="311">
        <f>ROUND($F44*J$20,0)</f>
        <v>0</v>
      </c>
      <c r="N44" s="355" t="s">
        <v>666</v>
      </c>
    </row>
    <row r="45" spans="1:14">
      <c r="A45" s="803" t="s">
        <v>691</v>
      </c>
      <c r="B45" s="804"/>
      <c r="C45" s="804"/>
      <c r="D45" s="805"/>
      <c r="E45" s="263"/>
      <c r="F45" s="309">
        <f>F30</f>
        <v>0</v>
      </c>
      <c r="G45" s="310">
        <v>0</v>
      </c>
      <c r="H45" s="310">
        <v>0</v>
      </c>
      <c r="I45" s="310">
        <v>0</v>
      </c>
      <c r="J45" s="310">
        <v>0</v>
      </c>
      <c r="K45" s="310">
        <v>0</v>
      </c>
      <c r="L45" s="310"/>
      <c r="M45" s="311">
        <f>ROUND($F45*J$20,0)</f>
        <v>0</v>
      </c>
      <c r="N45" s="355"/>
    </row>
    <row r="46" spans="1:14">
      <c r="A46" s="803" t="s">
        <v>691</v>
      </c>
      <c r="B46" s="804"/>
      <c r="C46" s="804"/>
      <c r="D46" s="805"/>
      <c r="E46" s="263"/>
      <c r="F46" s="309">
        <f>F10</f>
        <v>0</v>
      </c>
      <c r="G46" s="310">
        <v>0</v>
      </c>
      <c r="H46" s="310">
        <v>0</v>
      </c>
      <c r="I46" s="310">
        <v>0</v>
      </c>
      <c r="J46" s="310">
        <v>0</v>
      </c>
      <c r="K46" s="310"/>
      <c r="L46" s="310"/>
      <c r="M46" s="311">
        <f>ROUND($F46*J$20,0)</f>
        <v>0</v>
      </c>
      <c r="N46" s="355"/>
    </row>
    <row r="47" spans="1:14">
      <c r="A47" s="405" t="s">
        <v>691</v>
      </c>
      <c r="B47" s="406"/>
      <c r="C47" s="406"/>
      <c r="D47" s="407"/>
      <c r="E47" s="408"/>
      <c r="F47" s="409">
        <v>0</v>
      </c>
      <c r="G47" s="410">
        <v>0</v>
      </c>
      <c r="H47" s="410">
        <v>0</v>
      </c>
      <c r="I47" s="410">
        <v>0</v>
      </c>
      <c r="J47" s="410">
        <v>0</v>
      </c>
      <c r="K47" s="410">
        <f>+H17</f>
        <v>0</v>
      </c>
      <c r="L47" s="410"/>
      <c r="M47" s="411">
        <v>0</v>
      </c>
      <c r="N47" s="412"/>
    </row>
    <row r="48" spans="1:14" ht="15.6" thickBot="1">
      <c r="A48" s="800" t="s">
        <v>692</v>
      </c>
      <c r="B48" s="801"/>
      <c r="C48" s="801"/>
      <c r="D48" s="802"/>
      <c r="E48" s="214"/>
      <c r="F48" s="215">
        <f t="shared" ref="F48:K48" si="6">SUM(F42:F47)</f>
        <v>75</v>
      </c>
      <c r="G48" s="216">
        <f t="shared" si="6"/>
        <v>55</v>
      </c>
      <c r="H48" s="216">
        <f t="shared" si="6"/>
        <v>10</v>
      </c>
      <c r="I48" s="216">
        <f t="shared" si="6"/>
        <v>5</v>
      </c>
      <c r="J48" s="216">
        <f t="shared" si="6"/>
        <v>5</v>
      </c>
      <c r="K48" s="216">
        <f t="shared" si="6"/>
        <v>0</v>
      </c>
      <c r="L48" s="216">
        <f>SUM(L42:L46)</f>
        <v>0</v>
      </c>
      <c r="M48" s="217">
        <f>SUM(M42:M42)</f>
        <v>0</v>
      </c>
      <c r="N48" s="218"/>
    </row>
    <row r="49" spans="1:14">
      <c r="A49" s="797" t="s">
        <v>573</v>
      </c>
      <c r="B49" s="798"/>
      <c r="C49" s="798"/>
      <c r="D49" s="799"/>
      <c r="E49" s="78"/>
      <c r="F49" s="79"/>
      <c r="G49" s="80">
        <f>G38-G48</f>
        <v>-55</v>
      </c>
      <c r="H49" s="80">
        <f>H38-H48</f>
        <v>-10</v>
      </c>
      <c r="I49" s="80">
        <f>-I48</f>
        <v>-5</v>
      </c>
      <c r="J49" s="80">
        <f>J38-J48</f>
        <v>-5</v>
      </c>
      <c r="K49" s="80">
        <f>K38-K48</f>
        <v>0</v>
      </c>
      <c r="L49" s="80">
        <f>L38-L48</f>
        <v>75</v>
      </c>
      <c r="M49" s="81">
        <f>M38-M48</f>
        <v>0</v>
      </c>
      <c r="N49" s="82"/>
    </row>
    <row r="50" spans="1:14">
      <c r="C50" s="381"/>
    </row>
    <row r="69" spans="3:3">
      <c r="C69" s="381"/>
    </row>
    <row r="74" spans="3:3" ht="25.45" customHeight="1">
      <c r="C74" s="381"/>
    </row>
    <row r="75" spans="3:3">
      <c r="C75" s="381"/>
    </row>
  </sheetData>
  <mergeCells count="10">
    <mergeCell ref="A45:D45"/>
    <mergeCell ref="A46:D46"/>
    <mergeCell ref="A48:D48"/>
    <mergeCell ref="A49:D49"/>
    <mergeCell ref="A1:N1"/>
    <mergeCell ref="A40:E40"/>
    <mergeCell ref="A41:D41"/>
    <mergeCell ref="A42:D42"/>
    <mergeCell ref="A43:D43"/>
    <mergeCell ref="A44:D4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pageSetUpPr fitToPage="1"/>
  </sheetPr>
  <dimension ref="A1:N81"/>
  <sheetViews>
    <sheetView zoomScaleNormal="100" workbookViewId="0">
      <selection sqref="A1:N1"/>
    </sheetView>
  </sheetViews>
  <sheetFormatPr defaultRowHeight="14.85"/>
  <cols>
    <col min="1" max="1" width="48.28515625" customWidth="1"/>
    <col min="2" max="2" width="16" customWidth="1"/>
    <col min="3" max="3" width="7.7109375" style="30" customWidth="1"/>
    <col min="4" max="4" width="15.7109375" customWidth="1"/>
    <col min="5" max="5" width="10.7109375" customWidth="1"/>
    <col min="6" max="6" width="11" customWidth="1"/>
    <col min="7" max="7" width="9.5703125" customWidth="1"/>
    <col min="8" max="8" width="8.42578125" customWidth="1"/>
    <col min="9" max="10" width="8" bestFit="1" customWidth="1"/>
    <col min="11" max="11" width="7.7109375" customWidth="1"/>
    <col min="12" max="12" width="9.7109375" customWidth="1"/>
    <col min="13" max="13" width="9.140625" customWidth="1"/>
    <col min="14" max="14" width="25.42578125" customWidth="1"/>
  </cols>
  <sheetData>
    <row r="1" spans="1:14" ht="15.6">
      <c r="A1" s="745" t="s">
        <v>536</v>
      </c>
      <c r="B1" s="745"/>
      <c r="C1" s="745"/>
      <c r="D1" s="745"/>
      <c r="E1" s="745"/>
      <c r="F1" s="745"/>
      <c r="G1" s="745"/>
      <c r="H1" s="745"/>
      <c r="I1" s="745"/>
      <c r="J1" s="745"/>
      <c r="K1" s="745"/>
      <c r="L1" s="745"/>
      <c r="M1" s="745"/>
      <c r="N1" s="745"/>
    </row>
    <row r="2" spans="1:14">
      <c r="A2" s="65" t="s">
        <v>693</v>
      </c>
      <c r="B2" s="381"/>
      <c r="C2" s="687"/>
      <c r="D2" s="381"/>
      <c r="E2" s="381"/>
      <c r="F2" s="381"/>
      <c r="G2" s="381"/>
      <c r="H2" s="381"/>
      <c r="I2" s="381"/>
      <c r="J2" s="381"/>
      <c r="K2" s="381"/>
      <c r="L2" s="381"/>
      <c r="M2" s="381"/>
      <c r="N2" s="381"/>
    </row>
    <row r="3" spans="1:14">
      <c r="A3" s="68" t="s">
        <v>646</v>
      </c>
      <c r="B3" s="381"/>
      <c r="C3" s="687"/>
      <c r="D3" s="29"/>
      <c r="E3" s="554" t="s">
        <v>275</v>
      </c>
      <c r="F3" s="29"/>
      <c r="G3" s="381"/>
      <c r="H3" s="381"/>
      <c r="I3" s="381"/>
      <c r="J3" s="381"/>
      <c r="K3" s="381"/>
      <c r="L3" s="381"/>
      <c r="M3" s="381"/>
      <c r="N3" s="381"/>
    </row>
    <row r="4" spans="1:14">
      <c r="A4" s="68" t="s">
        <v>647</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30.25" customHeight="1">
      <c r="A7" s="36" t="s">
        <v>286</v>
      </c>
      <c r="B7" s="36"/>
      <c r="C7" s="37" t="s">
        <v>287</v>
      </c>
      <c r="D7" s="38"/>
      <c r="E7" s="263"/>
      <c r="F7" s="309"/>
      <c r="G7" s="310">
        <v>0</v>
      </c>
      <c r="H7" s="310">
        <v>0</v>
      </c>
      <c r="I7" s="310">
        <v>0</v>
      </c>
      <c r="J7" s="310">
        <v>0</v>
      </c>
      <c r="K7" s="310">
        <v>0</v>
      </c>
      <c r="L7" s="310">
        <v>0</v>
      </c>
      <c r="M7" s="311">
        <v>0</v>
      </c>
      <c r="N7" s="355"/>
    </row>
    <row r="8" spans="1:14" ht="15.05" customHeight="1">
      <c r="A8" s="36" t="s">
        <v>286</v>
      </c>
      <c r="B8" s="36"/>
      <c r="C8" s="37" t="s">
        <v>287</v>
      </c>
      <c r="D8" s="39"/>
      <c r="E8" s="263"/>
      <c r="F8" s="309"/>
      <c r="G8" s="310">
        <v>0</v>
      </c>
      <c r="H8" s="310">
        <v>0</v>
      </c>
      <c r="I8" s="310">
        <v>0</v>
      </c>
      <c r="J8" s="310">
        <v>0</v>
      </c>
      <c r="K8" s="310">
        <v>0</v>
      </c>
      <c r="L8" s="310">
        <v>0</v>
      </c>
      <c r="M8" s="311">
        <v>0</v>
      </c>
      <c r="N8" s="355"/>
    </row>
    <row r="9" spans="1:14" ht="28.8" customHeight="1">
      <c r="A9" s="36" t="s">
        <v>286</v>
      </c>
      <c r="B9" s="264"/>
      <c r="C9" s="37" t="s">
        <v>287</v>
      </c>
      <c r="D9" s="39"/>
      <c r="E9" s="263"/>
      <c r="F9" s="309"/>
      <c r="G9" s="310">
        <v>0</v>
      </c>
      <c r="H9" s="310">
        <v>0</v>
      </c>
      <c r="I9" s="310">
        <v>0</v>
      </c>
      <c r="J9" s="310">
        <v>0</v>
      </c>
      <c r="K9" s="310">
        <v>0</v>
      </c>
      <c r="L9" s="310">
        <v>0</v>
      </c>
      <c r="M9" s="311">
        <v>0</v>
      </c>
      <c r="N9" s="355"/>
    </row>
    <row r="10" spans="1:14" ht="15.05" customHeight="1">
      <c r="A10" s="36" t="s">
        <v>286</v>
      </c>
      <c r="B10" s="264"/>
      <c r="C10" s="37" t="s">
        <v>287</v>
      </c>
      <c r="D10" s="39"/>
      <c r="E10" s="263"/>
      <c r="F10" s="309"/>
      <c r="G10" s="310">
        <v>0</v>
      </c>
      <c r="H10" s="310">
        <v>0</v>
      </c>
      <c r="I10" s="310">
        <v>0</v>
      </c>
      <c r="J10" s="310">
        <v>0</v>
      </c>
      <c r="K10" s="310">
        <v>0</v>
      </c>
      <c r="L10" s="310">
        <v>0</v>
      </c>
      <c r="M10" s="311">
        <v>0</v>
      </c>
      <c r="N10" s="355"/>
    </row>
    <row r="11" spans="1:14" ht="15.05" customHeight="1">
      <c r="A11" s="36" t="s">
        <v>286</v>
      </c>
      <c r="B11" s="36"/>
      <c r="C11" s="37" t="s">
        <v>287</v>
      </c>
      <c r="D11" s="39"/>
      <c r="E11" s="263">
        <v>0</v>
      </c>
      <c r="F11" s="309">
        <f>SUM(G11:M11)</f>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SUM(G12:M12)</f>
        <v>0</v>
      </c>
      <c r="G12" s="310">
        <v>0</v>
      </c>
      <c r="H12" s="310">
        <v>0</v>
      </c>
      <c r="I12" s="310">
        <v>0</v>
      </c>
      <c r="J12" s="310">
        <v>0</v>
      </c>
      <c r="K12" s="310">
        <v>0</v>
      </c>
      <c r="L12" s="310">
        <v>0</v>
      </c>
      <c r="M12" s="311">
        <v>0</v>
      </c>
      <c r="N12" s="355"/>
    </row>
    <row r="13" spans="1:14">
      <c r="A13" s="36" t="s">
        <v>286</v>
      </c>
      <c r="B13" s="264"/>
      <c r="C13" s="37" t="s">
        <v>287</v>
      </c>
      <c r="D13" s="39"/>
      <c r="E13" s="263">
        <v>0</v>
      </c>
      <c r="F13" s="309">
        <f>SUM(G13:M13)</f>
        <v>0</v>
      </c>
      <c r="G13" s="310">
        <v>0</v>
      </c>
      <c r="H13" s="310">
        <v>0</v>
      </c>
      <c r="I13" s="310">
        <v>0</v>
      </c>
      <c r="J13" s="310">
        <v>0</v>
      </c>
      <c r="K13" s="310">
        <v>0</v>
      </c>
      <c r="L13" s="310">
        <v>0</v>
      </c>
      <c r="M13" s="311">
        <v>0</v>
      </c>
      <c r="N13" s="355"/>
    </row>
    <row r="14" spans="1:14">
      <c r="A14" s="36" t="s">
        <v>286</v>
      </c>
      <c r="B14" s="264"/>
      <c r="C14" s="37" t="s">
        <v>287</v>
      </c>
      <c r="D14" s="39"/>
      <c r="E14" s="263">
        <v>0</v>
      </c>
      <c r="F14" s="309">
        <f>SUM(G14:M14)</f>
        <v>0</v>
      </c>
      <c r="G14" s="310">
        <v>0</v>
      </c>
      <c r="H14" s="310">
        <v>0</v>
      </c>
      <c r="I14" s="310">
        <v>0</v>
      </c>
      <c r="J14" s="310">
        <v>0</v>
      </c>
      <c r="K14" s="310">
        <v>0</v>
      </c>
      <c r="L14" s="310">
        <v>0</v>
      </c>
      <c r="M14" s="311">
        <v>0</v>
      </c>
      <c r="N14" s="355"/>
    </row>
    <row r="15" spans="1:14">
      <c r="A15" s="36" t="s">
        <v>286</v>
      </c>
      <c r="B15" s="265"/>
      <c r="C15" s="37" t="s">
        <v>287</v>
      </c>
      <c r="D15" s="39"/>
      <c r="E15" s="263">
        <v>0</v>
      </c>
      <c r="F15" s="309">
        <f>SUM(G15:M15)</f>
        <v>0</v>
      </c>
      <c r="G15" s="310">
        <v>0</v>
      </c>
      <c r="H15" s="310">
        <v>0</v>
      </c>
      <c r="I15" s="310">
        <v>0</v>
      </c>
      <c r="J15" s="310">
        <v>0</v>
      </c>
      <c r="K15" s="310">
        <v>0</v>
      </c>
      <c r="L15" s="310">
        <v>0</v>
      </c>
      <c r="M15" s="311">
        <v>0</v>
      </c>
      <c r="N15" s="355"/>
    </row>
    <row r="16" spans="1:14">
      <c r="A16" s="40" t="s">
        <v>288</v>
      </c>
      <c r="B16" s="265"/>
      <c r="C16" s="266"/>
      <c r="D16" s="41">
        <f t="shared" ref="D16:M16" si="0">SUM(D7:D15)</f>
        <v>0</v>
      </c>
      <c r="E16" s="42">
        <v>0</v>
      </c>
      <c r="F16" s="43">
        <f t="shared" si="0"/>
        <v>0</v>
      </c>
      <c r="G16" s="43">
        <f t="shared" si="0"/>
        <v>0</v>
      </c>
      <c r="H16" s="43">
        <f t="shared" si="0"/>
        <v>0</v>
      </c>
      <c r="I16" s="43">
        <f t="shared" si="0"/>
        <v>0</v>
      </c>
      <c r="J16" s="43">
        <f t="shared" si="0"/>
        <v>0</v>
      </c>
      <c r="K16" s="43">
        <f t="shared" si="0"/>
        <v>0</v>
      </c>
      <c r="L16" s="43">
        <f t="shared" si="0"/>
        <v>0</v>
      </c>
      <c r="M16" s="43">
        <f t="shared" si="0"/>
        <v>0</v>
      </c>
      <c r="N16" s="254"/>
    </row>
    <row r="17" spans="1:14">
      <c r="A17" s="69" t="s">
        <v>289</v>
      </c>
      <c r="B17" s="70"/>
      <c r="C17" s="71"/>
      <c r="D17" s="70"/>
      <c r="E17" s="70"/>
      <c r="F17" s="72"/>
      <c r="G17" s="72"/>
      <c r="H17" s="72"/>
      <c r="I17" s="72"/>
      <c r="J17" s="72"/>
      <c r="K17" s="72"/>
      <c r="L17" s="72"/>
      <c r="M17" s="72"/>
      <c r="N17" s="72"/>
    </row>
    <row r="18" spans="1:14" ht="44.55">
      <c r="A18" s="264" t="s">
        <v>355</v>
      </c>
      <c r="B18" s="264"/>
      <c r="C18" s="44">
        <v>253</v>
      </c>
      <c r="D18" s="45"/>
      <c r="E18" s="263">
        <v>504</v>
      </c>
      <c r="F18" s="357">
        <f>SUM(G18:M18)</f>
        <v>507</v>
      </c>
      <c r="G18" s="310">
        <v>0</v>
      </c>
      <c r="H18" s="310">
        <v>507</v>
      </c>
      <c r="I18" s="310">
        <v>0</v>
      </c>
      <c r="J18" s="310">
        <v>0</v>
      </c>
      <c r="K18" s="310">
        <v>0</v>
      </c>
      <c r="L18" s="310">
        <v>0</v>
      </c>
      <c r="M18" s="311">
        <v>0</v>
      </c>
      <c r="N18" s="327" t="s">
        <v>694</v>
      </c>
    </row>
    <row r="19" spans="1:14" ht="29.7">
      <c r="A19" s="264" t="s">
        <v>355</v>
      </c>
      <c r="B19" s="264" t="s">
        <v>695</v>
      </c>
      <c r="C19" s="44">
        <v>253</v>
      </c>
      <c r="D19" s="45"/>
      <c r="E19" s="263">
        <v>0</v>
      </c>
      <c r="F19" s="357">
        <f>SUM(G19:M19)</f>
        <v>100</v>
      </c>
      <c r="G19" s="310">
        <v>0</v>
      </c>
      <c r="H19" s="310">
        <v>100</v>
      </c>
      <c r="I19" s="310">
        <v>0</v>
      </c>
      <c r="J19" s="310">
        <v>0</v>
      </c>
      <c r="K19" s="310">
        <v>0</v>
      </c>
      <c r="L19" s="310">
        <v>0</v>
      </c>
      <c r="M19" s="311">
        <v>0</v>
      </c>
      <c r="N19" s="327" t="s">
        <v>696</v>
      </c>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7"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3">
        <f>SUM(E18:E21)</f>
        <v>504</v>
      </c>
      <c r="F22" s="43">
        <f>SUM(F18:F21)</f>
        <v>607</v>
      </c>
      <c r="G22" s="43">
        <f t="shared" ref="G22:M22" si="1">SUM(G18:G21)</f>
        <v>0</v>
      </c>
      <c r="H22" s="43">
        <f t="shared" si="1"/>
        <v>607</v>
      </c>
      <c r="I22" s="43">
        <f t="shared" si="1"/>
        <v>0</v>
      </c>
      <c r="J22" s="43">
        <f t="shared" si="1"/>
        <v>0</v>
      </c>
      <c r="K22" s="43">
        <f t="shared" si="1"/>
        <v>0</v>
      </c>
      <c r="L22" s="43">
        <f t="shared" si="1"/>
        <v>0</v>
      </c>
      <c r="M22" s="43">
        <f t="shared" si="1"/>
        <v>0</v>
      </c>
      <c r="N22" s="355"/>
    </row>
    <row r="23" spans="1:14" s="7" customFormat="1">
      <c r="A23" s="127" t="s">
        <v>295</v>
      </c>
      <c r="B23" s="128"/>
      <c r="C23" s="128"/>
      <c r="D23" s="128"/>
      <c r="E23" s="89"/>
      <c r="F23" s="89"/>
      <c r="G23" s="89"/>
      <c r="H23" s="89"/>
      <c r="I23" s="89"/>
      <c r="J23" s="89"/>
      <c r="K23" s="89"/>
      <c r="L23" s="89"/>
      <c r="M23" s="89"/>
      <c r="N23" s="130"/>
    </row>
    <row r="24" spans="1:14" ht="15.05" customHeight="1">
      <c r="A24" s="264" t="s">
        <v>296</v>
      </c>
      <c r="B24" s="36" t="s">
        <v>605</v>
      </c>
      <c r="C24" s="37" t="s">
        <v>297</v>
      </c>
      <c r="D24" s="38">
        <v>0</v>
      </c>
      <c r="E24" s="263"/>
      <c r="F24" s="309"/>
      <c r="G24" s="310">
        <v>0</v>
      </c>
      <c r="H24" s="310">
        <v>0</v>
      </c>
      <c r="I24" s="310">
        <v>0</v>
      </c>
      <c r="J24" s="310">
        <v>0</v>
      </c>
      <c r="K24" s="310">
        <v>0</v>
      </c>
      <c r="L24" s="310">
        <v>0</v>
      </c>
      <c r="M24" s="311">
        <v>0</v>
      </c>
      <c r="N24" s="325"/>
    </row>
    <row r="25" spans="1:14">
      <c r="A25" s="264" t="s">
        <v>298</v>
      </c>
      <c r="B25" s="36"/>
      <c r="C25" s="44" t="s">
        <v>299</v>
      </c>
      <c r="D25" s="45"/>
      <c r="E25" s="263"/>
      <c r="F25" s="309"/>
      <c r="G25" s="310">
        <v>0</v>
      </c>
      <c r="H25" s="310">
        <v>0</v>
      </c>
      <c r="I25" s="310">
        <v>0</v>
      </c>
      <c r="J25" s="310">
        <v>0</v>
      </c>
      <c r="K25" s="310">
        <v>0</v>
      </c>
      <c r="L25" s="310">
        <v>0</v>
      </c>
      <c r="M25" s="311">
        <v>0</v>
      </c>
      <c r="N25" s="355"/>
    </row>
    <row r="26" spans="1:14">
      <c r="A26" s="264" t="s">
        <v>300</v>
      </c>
      <c r="B26" s="36"/>
      <c r="C26" s="44" t="s">
        <v>301</v>
      </c>
      <c r="D26" s="45"/>
      <c r="E26" s="263"/>
      <c r="F26" s="309"/>
      <c r="G26" s="310">
        <v>0</v>
      </c>
      <c r="H26" s="310">
        <v>0</v>
      </c>
      <c r="I26" s="310">
        <v>0</v>
      </c>
      <c r="J26" s="310">
        <v>0</v>
      </c>
      <c r="K26" s="310">
        <v>0</v>
      </c>
      <c r="L26" s="310">
        <v>0</v>
      </c>
      <c r="M26" s="311">
        <v>0</v>
      </c>
      <c r="N26" s="355"/>
    </row>
    <row r="27" spans="1:14">
      <c r="A27" s="264" t="s">
        <v>302</v>
      </c>
      <c r="B27" s="36"/>
      <c r="C27" s="44" t="s">
        <v>303</v>
      </c>
      <c r="D27" s="45"/>
      <c r="E27" s="263"/>
      <c r="F27" s="309"/>
      <c r="G27" s="310">
        <v>0</v>
      </c>
      <c r="H27" s="310">
        <v>0</v>
      </c>
      <c r="I27" s="310">
        <v>0</v>
      </c>
      <c r="J27" s="310">
        <v>0</v>
      </c>
      <c r="K27" s="310">
        <v>0</v>
      </c>
      <c r="L27" s="310">
        <v>0</v>
      </c>
      <c r="M27" s="311">
        <v>0</v>
      </c>
      <c r="N27" s="355"/>
    </row>
    <row r="28" spans="1:14">
      <c r="A28" s="264" t="s">
        <v>304</v>
      </c>
      <c r="B28" s="36"/>
      <c r="C28" s="44">
        <v>251</v>
      </c>
      <c r="D28" s="45"/>
      <c r="E28" s="263"/>
      <c r="F28" s="309"/>
      <c r="G28" s="310">
        <v>0</v>
      </c>
      <c r="H28" s="310">
        <v>0</v>
      </c>
      <c r="I28" s="310">
        <v>0</v>
      </c>
      <c r="J28" s="310">
        <v>0</v>
      </c>
      <c r="K28" s="310">
        <v>0</v>
      </c>
      <c r="L28" s="310">
        <v>0</v>
      </c>
      <c r="M28" s="311">
        <v>0</v>
      </c>
      <c r="N28" s="355"/>
    </row>
    <row r="29" spans="1:14">
      <c r="A29" s="264" t="s">
        <v>313</v>
      </c>
      <c r="B29" s="36"/>
      <c r="C29" s="44">
        <v>252</v>
      </c>
      <c r="D29" s="45"/>
      <c r="E29" s="263"/>
      <c r="F29" s="309"/>
      <c r="G29" s="310">
        <v>0</v>
      </c>
      <c r="H29" s="310">
        <v>0</v>
      </c>
      <c r="I29" s="310">
        <v>0</v>
      </c>
      <c r="J29" s="310">
        <v>0</v>
      </c>
      <c r="K29" s="310">
        <v>0</v>
      </c>
      <c r="L29" s="310">
        <v>0</v>
      </c>
      <c r="M29" s="311">
        <v>0</v>
      </c>
      <c r="N29" s="355"/>
    </row>
    <row r="30" spans="1:14">
      <c r="A30" s="264" t="s">
        <v>314</v>
      </c>
      <c r="B30" s="36" t="s">
        <v>605</v>
      </c>
      <c r="C30" s="44">
        <v>252</v>
      </c>
      <c r="D30" s="45"/>
      <c r="E30" s="263"/>
      <c r="F30" s="309"/>
      <c r="G30" s="310">
        <v>0</v>
      </c>
      <c r="H30" s="310">
        <v>0</v>
      </c>
      <c r="I30" s="310">
        <v>0</v>
      </c>
      <c r="J30" s="310">
        <v>0</v>
      </c>
      <c r="K30" s="310">
        <v>0</v>
      </c>
      <c r="L30" s="310">
        <v>0</v>
      </c>
      <c r="M30" s="311">
        <v>0</v>
      </c>
      <c r="N30" s="355"/>
    </row>
    <row r="31" spans="1:14">
      <c r="A31" s="264" t="s">
        <v>315</v>
      </c>
      <c r="B31" s="36"/>
      <c r="C31" s="44">
        <v>253</v>
      </c>
      <c r="D31" s="264"/>
      <c r="E31" s="263"/>
      <c r="F31" s="309"/>
      <c r="G31" s="310">
        <v>0</v>
      </c>
      <c r="H31" s="310">
        <v>0</v>
      </c>
      <c r="I31" s="310">
        <v>0</v>
      </c>
      <c r="J31" s="310">
        <v>0</v>
      </c>
      <c r="K31" s="310">
        <v>0</v>
      </c>
      <c r="L31" s="310">
        <v>0</v>
      </c>
      <c r="M31" s="311">
        <v>0</v>
      </c>
      <c r="N31" s="355"/>
    </row>
    <row r="32" spans="1:14">
      <c r="A32" s="264" t="s">
        <v>316</v>
      </c>
      <c r="B32" s="36"/>
      <c r="C32" s="44">
        <v>255</v>
      </c>
      <c r="D32" s="264"/>
      <c r="E32" s="263"/>
      <c r="F32" s="309"/>
      <c r="G32" s="310">
        <v>0</v>
      </c>
      <c r="H32" s="310">
        <v>0</v>
      </c>
      <c r="I32" s="310">
        <v>0</v>
      </c>
      <c r="J32" s="310">
        <v>0</v>
      </c>
      <c r="K32" s="310">
        <v>0</v>
      </c>
      <c r="L32" s="310">
        <v>0</v>
      </c>
      <c r="M32" s="311">
        <v>0</v>
      </c>
      <c r="N32" s="355"/>
    </row>
    <row r="33" spans="1:14">
      <c r="A33" s="264" t="s">
        <v>317</v>
      </c>
      <c r="B33" s="36"/>
      <c r="C33" s="44">
        <v>256</v>
      </c>
      <c r="D33" s="264"/>
      <c r="E33" s="263"/>
      <c r="F33" s="309"/>
      <c r="G33" s="310">
        <v>0</v>
      </c>
      <c r="H33" s="310">
        <v>0</v>
      </c>
      <c r="I33" s="310">
        <v>0</v>
      </c>
      <c r="J33" s="310">
        <v>0</v>
      </c>
      <c r="K33" s="310">
        <v>0</v>
      </c>
      <c r="L33" s="310">
        <v>0</v>
      </c>
      <c r="M33" s="311">
        <v>0</v>
      </c>
      <c r="N33" s="355"/>
    </row>
    <row r="34" spans="1:14">
      <c r="A34" s="264" t="s">
        <v>318</v>
      </c>
      <c r="B34" s="36"/>
      <c r="C34" s="44">
        <v>257</v>
      </c>
      <c r="D34" s="264"/>
      <c r="E34" s="263"/>
      <c r="F34" s="309"/>
      <c r="G34" s="310">
        <v>0</v>
      </c>
      <c r="H34" s="310">
        <v>0</v>
      </c>
      <c r="I34" s="310">
        <v>0</v>
      </c>
      <c r="J34" s="310">
        <v>0</v>
      </c>
      <c r="K34" s="310">
        <v>0</v>
      </c>
      <c r="L34" s="310">
        <v>0</v>
      </c>
      <c r="M34" s="311">
        <v>0</v>
      </c>
      <c r="N34" s="355"/>
    </row>
    <row r="35" spans="1:14">
      <c r="A35" s="264" t="s">
        <v>319</v>
      </c>
      <c r="B35" s="36"/>
      <c r="C35" s="44" t="s">
        <v>320</v>
      </c>
      <c r="D35" s="264"/>
      <c r="E35" s="263"/>
      <c r="F35" s="309"/>
      <c r="G35" s="310">
        <v>0</v>
      </c>
      <c r="H35" s="310">
        <v>0</v>
      </c>
      <c r="I35" s="310">
        <v>0</v>
      </c>
      <c r="J35" s="310">
        <v>0</v>
      </c>
      <c r="K35" s="310">
        <v>0</v>
      </c>
      <c r="L35" s="310">
        <v>0</v>
      </c>
      <c r="M35" s="311">
        <v>0</v>
      </c>
      <c r="N35" s="355"/>
    </row>
    <row r="36" spans="1:14">
      <c r="A36" s="265" t="s">
        <v>321</v>
      </c>
      <c r="B36" s="36"/>
      <c r="C36" s="266" t="s">
        <v>322</v>
      </c>
      <c r="D36" s="265"/>
      <c r="E36" s="263">
        <v>0</v>
      </c>
      <c r="F36" s="309">
        <v>0</v>
      </c>
      <c r="G36" s="310">
        <v>0</v>
      </c>
      <c r="H36" s="310">
        <v>0</v>
      </c>
      <c r="I36" s="310">
        <v>0</v>
      </c>
      <c r="J36" s="310">
        <v>0</v>
      </c>
      <c r="K36" s="310">
        <v>0</v>
      </c>
      <c r="L36" s="310">
        <v>0</v>
      </c>
      <c r="M36" s="311">
        <v>0</v>
      </c>
      <c r="N36" s="355"/>
    </row>
    <row r="37" spans="1:14">
      <c r="A37" s="40" t="s">
        <v>326</v>
      </c>
      <c r="B37" s="265"/>
      <c r="C37" s="266"/>
      <c r="D37" s="267"/>
      <c r="E37" s="42">
        <v>0</v>
      </c>
      <c r="F37" s="43">
        <f t="shared" ref="F37:M37" si="2">SUM(F24:F36)</f>
        <v>0</v>
      </c>
      <c r="G37" s="43">
        <f t="shared" si="2"/>
        <v>0</v>
      </c>
      <c r="H37" s="43">
        <f t="shared" si="2"/>
        <v>0</v>
      </c>
      <c r="I37" s="43">
        <f t="shared" si="2"/>
        <v>0</v>
      </c>
      <c r="J37" s="43">
        <f t="shared" si="2"/>
        <v>0</v>
      </c>
      <c r="K37" s="43">
        <f t="shared" si="2"/>
        <v>0</v>
      </c>
      <c r="L37" s="43">
        <f t="shared" si="2"/>
        <v>0</v>
      </c>
      <c r="M37" s="43">
        <f t="shared" si="2"/>
        <v>0</v>
      </c>
      <c r="N37" s="355"/>
    </row>
    <row r="38" spans="1:14" s="151" customFormat="1">
      <c r="A38" s="40" t="s">
        <v>327</v>
      </c>
      <c r="B38" s="51"/>
      <c r="C38" s="149"/>
      <c r="D38" s="267"/>
      <c r="E38" s="241"/>
      <c r="F38" s="240">
        <v>0</v>
      </c>
      <c r="G38" s="240"/>
      <c r="H38" s="240">
        <v>0</v>
      </c>
      <c r="I38" s="240"/>
      <c r="J38" s="240"/>
      <c r="K38" s="240"/>
      <c r="L38" s="240"/>
      <c r="M38" s="240"/>
      <c r="N38" s="355"/>
    </row>
    <row r="39" spans="1:14">
      <c r="A39" s="40" t="s">
        <v>328</v>
      </c>
      <c r="B39" s="46"/>
      <c r="C39" s="47"/>
      <c r="D39" s="48">
        <f>D37+D22+D16</f>
        <v>0</v>
      </c>
      <c r="E39" s="42">
        <f>E37+E22+E16-E38</f>
        <v>504</v>
      </c>
      <c r="F39" s="17">
        <f>F37+F22+F16-F38</f>
        <v>607</v>
      </c>
      <c r="G39" s="17">
        <f t="shared" ref="G39:M39" si="3">G37+G22+G16-G38</f>
        <v>0</v>
      </c>
      <c r="H39" s="17">
        <f t="shared" si="3"/>
        <v>607</v>
      </c>
      <c r="I39" s="17">
        <f t="shared" si="3"/>
        <v>0</v>
      </c>
      <c r="J39" s="17">
        <f t="shared" si="3"/>
        <v>0</v>
      </c>
      <c r="K39" s="17">
        <f t="shared" si="3"/>
        <v>0</v>
      </c>
      <c r="L39" s="17">
        <f t="shared" si="3"/>
        <v>0</v>
      </c>
      <c r="M39" s="17">
        <f t="shared" si="3"/>
        <v>0</v>
      </c>
      <c r="N39" s="353"/>
    </row>
    <row r="41" spans="1:14">
      <c r="A41" s="780" t="s">
        <v>569</v>
      </c>
      <c r="B41" s="781"/>
      <c r="C41" s="781"/>
      <c r="D41" s="781"/>
      <c r="E41" s="782"/>
      <c r="F41" s="309" t="s">
        <v>570</v>
      </c>
      <c r="G41" s="310" t="s">
        <v>0</v>
      </c>
      <c r="H41" s="310" t="s">
        <v>1</v>
      </c>
      <c r="I41" s="310" t="s">
        <v>2</v>
      </c>
      <c r="J41" s="310" t="s">
        <v>3</v>
      </c>
      <c r="K41" s="310" t="s">
        <v>4</v>
      </c>
      <c r="L41" s="310" t="s">
        <v>34</v>
      </c>
      <c r="M41" s="311"/>
      <c r="N41" s="355" t="s">
        <v>284</v>
      </c>
    </row>
    <row r="42" spans="1:14">
      <c r="A42" s="783" t="s">
        <v>571</v>
      </c>
      <c r="B42" s="784"/>
      <c r="C42" s="784"/>
      <c r="D42" s="785"/>
      <c r="E42" s="91"/>
      <c r="F42" s="88"/>
      <c r="G42" s="90"/>
      <c r="H42" s="90"/>
      <c r="I42" s="90"/>
      <c r="J42" s="90"/>
      <c r="K42" s="90"/>
      <c r="L42" s="90"/>
      <c r="M42" s="88"/>
      <c r="N42" s="89"/>
    </row>
    <row r="43" spans="1:14" ht="15.6" thickBot="1">
      <c r="A43" s="812" t="s">
        <v>572</v>
      </c>
      <c r="B43" s="813"/>
      <c r="C43" s="813"/>
      <c r="D43" s="814"/>
      <c r="E43" s="83"/>
      <c r="F43" s="84">
        <f>F39</f>
        <v>607</v>
      </c>
      <c r="G43" s="85">
        <v>239</v>
      </c>
      <c r="H43" s="85">
        <v>0</v>
      </c>
      <c r="I43" s="85">
        <v>155</v>
      </c>
      <c r="J43" s="85">
        <v>213</v>
      </c>
      <c r="K43" s="85">
        <v>0</v>
      </c>
      <c r="L43" s="85">
        <v>0</v>
      </c>
      <c r="M43" s="86">
        <v>0</v>
      </c>
      <c r="N43" s="87" t="s">
        <v>697</v>
      </c>
    </row>
    <row r="44" spans="1:14">
      <c r="A44" s="777" t="s">
        <v>573</v>
      </c>
      <c r="B44" s="778"/>
      <c r="C44" s="778"/>
      <c r="D44" s="779"/>
      <c r="E44" s="78"/>
      <c r="F44" s="79"/>
      <c r="G44" s="80">
        <f t="shared" ref="G44:M44" si="4">G39-G43</f>
        <v>-239</v>
      </c>
      <c r="H44" s="80">
        <f t="shared" si="4"/>
        <v>607</v>
      </c>
      <c r="I44" s="80">
        <f t="shared" si="4"/>
        <v>-155</v>
      </c>
      <c r="J44" s="80">
        <f t="shared" si="4"/>
        <v>-213</v>
      </c>
      <c r="K44" s="80">
        <f t="shared" si="4"/>
        <v>0</v>
      </c>
      <c r="L44" s="80">
        <f t="shared" si="4"/>
        <v>0</v>
      </c>
      <c r="M44" s="81">
        <f t="shared" si="4"/>
        <v>0</v>
      </c>
      <c r="N44" s="82"/>
    </row>
    <row r="46" spans="1:14">
      <c r="A46" s="381"/>
      <c r="B46" s="381"/>
      <c r="C46" s="687"/>
      <c r="D46" s="381"/>
      <c r="E46" s="381"/>
      <c r="F46" s="289" t="s">
        <v>698</v>
      </c>
      <c r="G46" s="516">
        <f>198/504</f>
        <v>0.39285714285714285</v>
      </c>
      <c r="H46" s="381"/>
      <c r="I46" s="516">
        <f>129/504</f>
        <v>0.25595238095238093</v>
      </c>
      <c r="J46" s="516">
        <f>177/504</f>
        <v>0.35119047619047616</v>
      </c>
      <c r="K46" s="381"/>
      <c r="L46" s="381"/>
      <c r="M46" s="381"/>
      <c r="N46" s="381"/>
    </row>
    <row r="47" spans="1:14">
      <c r="A47" s="381"/>
      <c r="B47" s="381"/>
      <c r="C47" s="687"/>
      <c r="D47" s="381"/>
      <c r="E47" s="381"/>
      <c r="F47" s="289" t="s">
        <v>699</v>
      </c>
      <c r="G47" s="228">
        <f>+G46*F43</f>
        <v>238.46428571428572</v>
      </c>
      <c r="H47" s="381"/>
      <c r="I47" s="228">
        <f>+I46*F43</f>
        <v>155.36309523809521</v>
      </c>
      <c r="J47" s="228">
        <f>+J46*F43</f>
        <v>213.17261904761904</v>
      </c>
      <c r="K47" s="381"/>
      <c r="L47" s="381"/>
      <c r="M47" s="381"/>
      <c r="N47" s="381"/>
    </row>
    <row r="48" spans="1:14">
      <c r="A48" s="381"/>
      <c r="B48" s="381"/>
      <c r="C48" s="381"/>
      <c r="D48" s="381"/>
      <c r="E48" s="381"/>
      <c r="F48" s="381"/>
      <c r="G48" s="381"/>
      <c r="H48" s="381"/>
      <c r="I48" s="381"/>
      <c r="J48" s="381"/>
      <c r="K48" s="381"/>
      <c r="L48" s="381"/>
      <c r="M48" s="381"/>
      <c r="N48" s="381"/>
    </row>
    <row r="50" spans="1:14" s="381" customFormat="1" ht="15.6" thickBot="1">
      <c r="A50" s="31"/>
      <c r="B50" s="31"/>
      <c r="C50" s="32"/>
      <c r="D50" s="31"/>
      <c r="E50" s="31"/>
      <c r="F50" s="31"/>
      <c r="G50" s="31"/>
      <c r="H50" s="31"/>
      <c r="I50" s="31"/>
      <c r="J50" s="31"/>
      <c r="K50" s="31"/>
      <c r="L50" s="31"/>
      <c r="M50" s="31"/>
      <c r="N50" s="562"/>
    </row>
    <row r="51" spans="1:14" s="381" customFormat="1" ht="15.6">
      <c r="A51" s="764" t="s">
        <v>330</v>
      </c>
      <c r="B51" s="765"/>
      <c r="C51" s="765"/>
      <c r="D51" s="765"/>
      <c r="E51" s="765"/>
      <c r="F51" s="765"/>
      <c r="G51" s="581"/>
      <c r="H51" s="31"/>
      <c r="I51" s="31"/>
      <c r="J51" s="31"/>
      <c r="K51" s="31"/>
      <c r="L51" s="31"/>
      <c r="M51" s="31"/>
      <c r="N51" s="562"/>
    </row>
    <row r="52" spans="1:14" s="381" customFormat="1" ht="15.6">
      <c r="A52" s="738"/>
      <c r="B52" s="739"/>
      <c r="C52" s="739"/>
      <c r="D52" s="739"/>
      <c r="E52" s="739"/>
      <c r="F52" s="739"/>
      <c r="G52" s="582"/>
      <c r="H52" s="31"/>
      <c r="I52" s="31"/>
      <c r="J52" s="31"/>
      <c r="K52" s="31"/>
      <c r="L52" s="31"/>
      <c r="M52" s="31"/>
      <c r="N52" s="562"/>
    </row>
    <row r="53" spans="1:14" s="381" customFormat="1">
      <c r="A53" s="740" t="s">
        <v>331</v>
      </c>
      <c r="B53" s="741"/>
      <c r="C53" s="583"/>
      <c r="D53" s="583"/>
      <c r="E53" s="583"/>
      <c r="F53" s="583"/>
      <c r="G53" s="582"/>
      <c r="H53" s="31"/>
      <c r="I53" s="31"/>
      <c r="J53" s="31"/>
      <c r="K53" s="31"/>
      <c r="L53" s="31"/>
      <c r="M53" s="31"/>
      <c r="N53" s="562"/>
    </row>
    <row r="54" spans="1:14" s="381" customFormat="1">
      <c r="A54" s="584" t="s">
        <v>361</v>
      </c>
      <c r="B54" s="585">
        <f>E39</f>
        <v>504</v>
      </c>
      <c r="C54" s="586"/>
      <c r="D54" s="587"/>
      <c r="E54" s="587"/>
      <c r="F54" s="587"/>
      <c r="G54" s="582"/>
      <c r="H54" s="31"/>
      <c r="I54" s="31"/>
      <c r="J54" s="31"/>
      <c r="K54" s="31"/>
      <c r="L54" s="31"/>
      <c r="M54" s="31"/>
      <c r="N54" s="562"/>
    </row>
    <row r="55" spans="1:14" s="381" customFormat="1">
      <c r="A55" s="588" t="s">
        <v>362</v>
      </c>
      <c r="B55" s="589">
        <f>F39</f>
        <v>607</v>
      </c>
      <c r="C55" s="586"/>
      <c r="D55" s="587"/>
      <c r="E55" s="587"/>
      <c r="F55" s="587"/>
      <c r="G55" s="582"/>
      <c r="H55" s="31"/>
      <c r="I55" s="31"/>
      <c r="J55" s="31"/>
      <c r="K55" s="31"/>
      <c r="L55" s="31"/>
      <c r="M55" s="31"/>
      <c r="N55" s="562"/>
    </row>
    <row r="56" spans="1:14" s="381" customFormat="1">
      <c r="A56" s="590" t="s">
        <v>334</v>
      </c>
      <c r="B56" s="591">
        <f>B55-B54</f>
        <v>103</v>
      </c>
      <c r="C56" s="586"/>
      <c r="D56" s="587"/>
      <c r="E56" s="587"/>
      <c r="F56" s="587"/>
      <c r="G56" s="582"/>
      <c r="H56" s="31"/>
      <c r="I56" s="31"/>
      <c r="J56" s="31"/>
      <c r="K56" s="31"/>
      <c r="L56" s="31"/>
      <c r="M56" s="31"/>
      <c r="N56" s="562"/>
    </row>
    <row r="57" spans="1:14" s="381" customFormat="1">
      <c r="A57" s="590" t="s">
        <v>335</v>
      </c>
      <c r="B57" s="592">
        <f>B56/B54</f>
        <v>0.20436507936507936</v>
      </c>
      <c r="C57" s="586"/>
      <c r="D57" s="587"/>
      <c r="E57" s="587"/>
      <c r="F57" s="587"/>
      <c r="G57" s="582"/>
      <c r="H57" s="31"/>
      <c r="I57" s="31"/>
      <c r="J57" s="31"/>
      <c r="K57" s="31"/>
      <c r="L57" s="31"/>
      <c r="M57" s="31"/>
      <c r="N57" s="562"/>
    </row>
    <row r="58" spans="1:14" s="381" customFormat="1">
      <c r="A58" s="593"/>
      <c r="B58" s="587"/>
      <c r="C58" s="686"/>
      <c r="D58" s="587"/>
      <c r="E58" s="587"/>
      <c r="F58" s="587"/>
      <c r="G58" s="582"/>
      <c r="H58" s="31"/>
      <c r="I58" s="31"/>
      <c r="J58" s="31"/>
      <c r="K58" s="31"/>
      <c r="L58" s="31"/>
      <c r="M58" s="31"/>
      <c r="N58" s="562"/>
    </row>
    <row r="59" spans="1:14" s="381" customFormat="1">
      <c r="A59" s="731" t="s">
        <v>336</v>
      </c>
      <c r="B59" s="732"/>
      <c r="C59" s="732"/>
      <c r="D59" s="732"/>
      <c r="E59" s="732"/>
      <c r="F59" s="732"/>
      <c r="G59" s="582"/>
      <c r="H59" s="31"/>
      <c r="I59" s="31"/>
      <c r="J59" s="31"/>
      <c r="K59" s="31"/>
      <c r="L59" s="31"/>
      <c r="M59" s="31"/>
      <c r="N59" s="562"/>
    </row>
    <row r="60" spans="1:14" s="381" customFormat="1">
      <c r="A60" s="742" t="s">
        <v>700</v>
      </c>
      <c r="B60" s="743"/>
      <c r="C60" s="743"/>
      <c r="D60" s="743"/>
      <c r="E60" s="743"/>
      <c r="F60" s="744"/>
      <c r="G60" s="582"/>
      <c r="H60" s="31"/>
      <c r="I60" s="31"/>
      <c r="J60" s="31"/>
      <c r="K60" s="31"/>
      <c r="L60" s="31"/>
      <c r="M60" s="31"/>
      <c r="N60" s="562"/>
    </row>
    <row r="61" spans="1:14" s="381" customFormat="1">
      <c r="A61" s="594"/>
      <c r="B61" s="595"/>
      <c r="C61" s="595"/>
      <c r="D61" s="595"/>
      <c r="E61" s="595"/>
      <c r="F61" s="595"/>
      <c r="G61" s="582"/>
      <c r="H61" s="31"/>
      <c r="I61" s="31"/>
      <c r="J61" s="31"/>
      <c r="K61" s="31"/>
      <c r="L61" s="31"/>
      <c r="M61" s="31"/>
      <c r="N61" s="562"/>
    </row>
    <row r="62" spans="1:14" s="381" customFormat="1">
      <c r="A62" s="596" t="s">
        <v>337</v>
      </c>
      <c r="B62" s="587"/>
      <c r="C62" s="686"/>
      <c r="D62" s="587"/>
      <c r="E62" s="587"/>
      <c r="F62" s="587"/>
      <c r="G62" s="582"/>
      <c r="H62" s="31"/>
      <c r="I62" s="31"/>
      <c r="J62" s="31"/>
      <c r="K62" s="31"/>
      <c r="L62" s="31"/>
      <c r="M62" s="31"/>
      <c r="N62" s="562"/>
    </row>
    <row r="63" spans="1:14" s="381" customFormat="1" ht="104.7" customHeight="1">
      <c r="A63" s="742" t="s">
        <v>701</v>
      </c>
      <c r="B63" s="743"/>
      <c r="C63" s="743"/>
      <c r="D63" s="743"/>
      <c r="E63" s="743"/>
      <c r="F63" s="744"/>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731" t="s">
        <v>365</v>
      </c>
      <c r="B65" s="732"/>
      <c r="C65" s="732"/>
      <c r="D65" s="732"/>
      <c r="E65" s="732"/>
      <c r="F65" s="732"/>
      <c r="G65" s="582"/>
      <c r="H65" s="31"/>
      <c r="I65" s="31"/>
      <c r="J65" s="31"/>
      <c r="K65" s="31"/>
      <c r="L65" s="31"/>
      <c r="M65" s="31"/>
      <c r="N65" s="562"/>
    </row>
    <row r="66" spans="1:14" s="381" customFormat="1">
      <c r="A66" s="733" t="s">
        <v>339</v>
      </c>
      <c r="B66" s="734"/>
      <c r="C66" s="734"/>
      <c r="D66" s="734"/>
      <c r="E66" s="734"/>
      <c r="F66" s="734"/>
      <c r="G66" s="582"/>
      <c r="H66" s="31"/>
      <c r="I66" s="31"/>
      <c r="J66" s="31"/>
      <c r="K66" s="31"/>
      <c r="L66" s="31"/>
      <c r="M66" s="31"/>
      <c r="N66" s="562"/>
    </row>
    <row r="67" spans="1:14" s="381" customFormat="1" ht="47.5" customHeight="1">
      <c r="A67" s="742" t="s">
        <v>702</v>
      </c>
      <c r="B67" s="743"/>
      <c r="C67" s="743"/>
      <c r="D67" s="743"/>
      <c r="E67" s="743"/>
      <c r="F67" s="744"/>
      <c r="G67" s="582"/>
      <c r="H67" s="31"/>
      <c r="I67" s="31"/>
      <c r="J67" s="31"/>
      <c r="K67" s="31"/>
      <c r="L67" s="31"/>
      <c r="M67" s="31"/>
      <c r="N67" s="562"/>
    </row>
    <row r="68" spans="1:14" s="381" customFormat="1">
      <c r="A68" s="596"/>
      <c r="B68" s="587"/>
      <c r="C68" s="686"/>
      <c r="D68" s="587"/>
      <c r="E68" s="587"/>
      <c r="F68" s="587"/>
      <c r="G68" s="582"/>
      <c r="H68" s="31"/>
      <c r="I68" s="31"/>
      <c r="J68" s="31"/>
      <c r="K68" s="31"/>
      <c r="L68" s="31"/>
      <c r="M68" s="31"/>
      <c r="N68" s="562"/>
    </row>
    <row r="69" spans="1:14" s="381" customFormat="1">
      <c r="A69" s="731" t="s">
        <v>340</v>
      </c>
      <c r="B69" s="732"/>
      <c r="C69" s="732"/>
      <c r="D69" s="732"/>
      <c r="E69" s="732"/>
      <c r="F69" s="587"/>
      <c r="G69" s="582"/>
      <c r="H69" s="31"/>
      <c r="I69" s="31"/>
      <c r="J69" s="31"/>
      <c r="K69" s="31"/>
      <c r="L69" s="31"/>
      <c r="M69" s="31"/>
      <c r="N69" s="562"/>
    </row>
    <row r="70" spans="1:14" s="381" customFormat="1" ht="20.8" customHeight="1">
      <c r="A70" s="728" t="s">
        <v>703</v>
      </c>
      <c r="B70" s="729"/>
      <c r="C70" s="729"/>
      <c r="D70" s="729"/>
      <c r="E70" s="729"/>
      <c r="F70" s="730"/>
      <c r="G70" s="582"/>
      <c r="H70" s="31"/>
      <c r="I70" s="31"/>
      <c r="J70" s="31"/>
      <c r="K70" s="31"/>
      <c r="L70" s="31"/>
      <c r="M70" s="31"/>
      <c r="N70" s="562"/>
    </row>
    <row r="71" spans="1:14" s="381" customFormat="1">
      <c r="A71" s="593"/>
      <c r="B71" s="587"/>
      <c r="C71" s="686"/>
      <c r="D71" s="587"/>
      <c r="E71" s="587"/>
      <c r="F71" s="587"/>
      <c r="G71" s="582"/>
      <c r="H71" s="31"/>
      <c r="I71" s="31"/>
      <c r="J71" s="31"/>
      <c r="K71" s="31"/>
      <c r="L71" s="31"/>
      <c r="M71" s="31"/>
      <c r="N71" s="562"/>
    </row>
    <row r="72" spans="1:14" s="381" customFormat="1">
      <c r="A72" s="596" t="s">
        <v>341</v>
      </c>
      <c r="B72" s="587"/>
      <c r="C72" s="686"/>
      <c r="D72" s="587"/>
      <c r="E72" s="587"/>
      <c r="F72" s="587"/>
      <c r="G72" s="582"/>
      <c r="H72" s="31"/>
      <c r="I72" s="31"/>
      <c r="J72" s="31"/>
      <c r="K72" s="31"/>
      <c r="L72" s="31"/>
      <c r="M72" s="31"/>
      <c r="N72" s="562"/>
    </row>
    <row r="73" spans="1:14" s="381" customFormat="1">
      <c r="A73" s="597" t="s">
        <v>342</v>
      </c>
      <c r="B73" s="587"/>
      <c r="C73" s="686"/>
      <c r="D73" s="587"/>
      <c r="E73" s="587"/>
      <c r="F73" s="587"/>
      <c r="G73" s="582"/>
      <c r="H73" s="31"/>
      <c r="I73" s="31"/>
      <c r="J73" s="31"/>
      <c r="K73" s="31"/>
      <c r="L73" s="31"/>
      <c r="M73" s="31"/>
      <c r="N73" s="562"/>
    </row>
    <row r="74" spans="1:14" s="381" customFormat="1" ht="26.2" customHeight="1">
      <c r="A74" s="719" t="s">
        <v>368</v>
      </c>
      <c r="B74" s="720"/>
      <c r="C74" s="720"/>
      <c r="D74" s="720"/>
      <c r="E74" s="720"/>
      <c r="F74" s="720"/>
      <c r="G74" s="582"/>
      <c r="H74" s="31"/>
      <c r="I74" s="31"/>
      <c r="J74" s="31"/>
      <c r="K74" s="31"/>
      <c r="L74" s="31"/>
      <c r="M74" s="31"/>
      <c r="N74" s="562"/>
    </row>
    <row r="75" spans="1:14" s="381" customFormat="1" ht="47.5" customHeight="1">
      <c r="A75" s="766" t="s">
        <v>704</v>
      </c>
      <c r="B75" s="767"/>
      <c r="C75" s="767"/>
      <c r="D75" s="767"/>
      <c r="E75" s="767"/>
      <c r="F75" s="768"/>
      <c r="G75" s="582"/>
      <c r="H75" s="31"/>
      <c r="I75" s="31"/>
      <c r="J75" s="31"/>
      <c r="K75" s="31"/>
      <c r="L75" s="31"/>
      <c r="M75" s="31"/>
      <c r="N75" s="562"/>
    </row>
    <row r="76" spans="1:14" s="381" customFormat="1">
      <c r="A76" s="724"/>
      <c r="B76" s="725"/>
      <c r="C76" s="725"/>
      <c r="D76" s="725"/>
      <c r="E76" s="725"/>
      <c r="F76" s="725"/>
      <c r="G76" s="582"/>
      <c r="H76" s="31"/>
      <c r="I76" s="31"/>
      <c r="J76" s="31"/>
      <c r="K76" s="31"/>
      <c r="L76" s="31"/>
      <c r="M76" s="31"/>
      <c r="N76" s="562"/>
    </row>
    <row r="77" spans="1:14" s="381" customFormat="1">
      <c r="A77" s="597" t="s">
        <v>344</v>
      </c>
      <c r="B77" s="587"/>
      <c r="C77" s="686"/>
      <c r="D77" s="587"/>
      <c r="E77" s="587"/>
      <c r="F77" s="587"/>
      <c r="G77" s="582"/>
      <c r="H77" s="31"/>
      <c r="I77" s="31"/>
      <c r="J77" s="31"/>
      <c r="K77" s="31"/>
      <c r="L77" s="31"/>
      <c r="M77" s="31"/>
      <c r="N77" s="562"/>
    </row>
    <row r="78" spans="1:14" s="381" customFormat="1" ht="28.8" customHeight="1">
      <c r="A78" s="726" t="s">
        <v>345</v>
      </c>
      <c r="B78" s="727"/>
      <c r="C78" s="727"/>
      <c r="D78" s="727"/>
      <c r="E78" s="727"/>
      <c r="F78" s="727"/>
      <c r="G78" s="582"/>
      <c r="H78" s="31"/>
      <c r="I78" s="31"/>
      <c r="J78" s="31"/>
      <c r="K78" s="31"/>
      <c r="L78" s="31"/>
      <c r="M78" s="31"/>
      <c r="N78" s="562"/>
    </row>
    <row r="79" spans="1:14" s="381" customFormat="1" ht="19.3" customHeight="1">
      <c r="A79" s="728"/>
      <c r="B79" s="729"/>
      <c r="C79" s="729"/>
      <c r="D79" s="729"/>
      <c r="E79" s="729"/>
      <c r="F79" s="730"/>
      <c r="G79" s="582"/>
      <c r="H79" s="31"/>
      <c r="I79" s="31"/>
      <c r="J79" s="31"/>
      <c r="K79" s="31"/>
      <c r="L79" s="31"/>
      <c r="M79" s="31"/>
      <c r="N79" s="562"/>
    </row>
    <row r="80" spans="1:14" s="381" customFormat="1" ht="15.6" thickBot="1">
      <c r="A80" s="598"/>
      <c r="B80" s="599"/>
      <c r="C80" s="600"/>
      <c r="D80" s="599"/>
      <c r="E80" s="599"/>
      <c r="F80" s="599"/>
      <c r="G80" s="601"/>
      <c r="H80" s="31"/>
      <c r="I80" s="31"/>
      <c r="J80" s="31"/>
      <c r="K80" s="31"/>
      <c r="L80" s="31"/>
      <c r="M80" s="31"/>
      <c r="N80" s="562"/>
    </row>
    <row r="81" spans="1:14" s="381" customFormat="1">
      <c r="A81" s="31"/>
      <c r="B81" s="31"/>
      <c r="C81" s="32"/>
      <c r="D81" s="31"/>
      <c r="E81" s="31"/>
      <c r="F81" s="31"/>
      <c r="G81" s="31"/>
      <c r="H81" s="31"/>
      <c r="I81" s="31"/>
      <c r="J81" s="31"/>
      <c r="K81" s="31"/>
      <c r="L81" s="31"/>
      <c r="M81" s="31"/>
      <c r="N81" s="562"/>
    </row>
  </sheetData>
  <mergeCells count="21">
    <mergeCell ref="A43:D43"/>
    <mergeCell ref="A44:D44"/>
    <mergeCell ref="A1:N1"/>
    <mergeCell ref="A41:E41"/>
    <mergeCell ref="A42:D42"/>
    <mergeCell ref="A51:F51"/>
    <mergeCell ref="A52:F52"/>
    <mergeCell ref="A53:B53"/>
    <mergeCell ref="A59:F59"/>
    <mergeCell ref="A60:F60"/>
    <mergeCell ref="A63:F63"/>
    <mergeCell ref="A65:F65"/>
    <mergeCell ref="A66:F66"/>
    <mergeCell ref="A67:F67"/>
    <mergeCell ref="A69:E69"/>
    <mergeCell ref="A79:F79"/>
    <mergeCell ref="A70:F70"/>
    <mergeCell ref="A74:F74"/>
    <mergeCell ref="A75:F75"/>
    <mergeCell ref="A76:F76"/>
    <mergeCell ref="A78:F78"/>
  </mergeCells>
  <printOptions horizontalCentered="1"/>
  <pageMargins left="0.2" right="0.2" top="0.75" bottom="0.75" header="0.3" footer="0.3"/>
  <pageSetup scale="70" fitToHeight="0" orientation="landscape" r:id="rId1"/>
  <headerFooter>
    <oddHeader xml:space="preserve">&amp;CDRAFT NOT FOR DISTRIBUTION, INTERNAL USE ONLY
</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1:N98"/>
  <sheetViews>
    <sheetView zoomScaleNormal="100" workbookViewId="0">
      <selection sqref="A1:N1"/>
    </sheetView>
  </sheetViews>
  <sheetFormatPr defaultRowHeight="14.85"/>
  <cols>
    <col min="1" max="1" width="43.42578125" customWidth="1"/>
    <col min="2" max="2" width="18.7109375"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33.7109375" customWidth="1"/>
  </cols>
  <sheetData>
    <row r="1" spans="1:14" ht="15.6">
      <c r="A1" s="745" t="s">
        <v>536</v>
      </c>
      <c r="B1" s="745"/>
      <c r="C1" s="745"/>
      <c r="D1" s="745"/>
      <c r="E1" s="745"/>
      <c r="F1" s="745"/>
      <c r="G1" s="745"/>
      <c r="H1" s="745"/>
      <c r="I1" s="745"/>
      <c r="J1" s="745"/>
      <c r="K1" s="745"/>
      <c r="L1" s="745"/>
      <c r="M1" s="745"/>
      <c r="N1" s="745"/>
    </row>
    <row r="2" spans="1:14">
      <c r="A2" s="65" t="s">
        <v>705</v>
      </c>
      <c r="B2" s="31"/>
      <c r="C2" s="32"/>
      <c r="D2" s="31"/>
      <c r="E2" s="31"/>
      <c r="F2" s="31"/>
      <c r="G2" s="31"/>
      <c r="H2" s="31"/>
      <c r="I2" s="31"/>
      <c r="J2" s="31"/>
      <c r="K2" s="31"/>
      <c r="L2" s="31"/>
      <c r="M2" s="31"/>
      <c r="N2" s="31"/>
    </row>
    <row r="3" spans="1:14">
      <c r="A3" s="68" t="s">
        <v>706</v>
      </c>
      <c r="B3" s="31"/>
      <c r="C3" s="32"/>
      <c r="D3" s="31"/>
      <c r="E3" s="29"/>
      <c r="F3" s="554" t="s">
        <v>275</v>
      </c>
      <c r="G3" s="29"/>
      <c r="H3" s="31"/>
      <c r="I3" s="31"/>
      <c r="J3" s="31"/>
      <c r="K3" s="31"/>
      <c r="L3" s="31"/>
      <c r="M3" s="31"/>
      <c r="N3" s="31"/>
    </row>
    <row r="4" spans="1:14">
      <c r="A4" s="68" t="s">
        <v>707</v>
      </c>
      <c r="B4" s="31"/>
      <c r="C4" s="32"/>
      <c r="D4" s="31"/>
      <c r="E4" s="31"/>
      <c r="F4" s="31"/>
      <c r="G4" s="31"/>
      <c r="H4" s="31"/>
      <c r="I4" s="31"/>
      <c r="J4" s="31"/>
      <c r="K4" s="31"/>
      <c r="L4" s="31"/>
      <c r="M4" s="31"/>
      <c r="N4" s="31"/>
    </row>
    <row r="5" spans="1:14" ht="26">
      <c r="A5" s="33"/>
      <c r="B5" s="33" t="s">
        <v>277</v>
      </c>
      <c r="C5" s="1" t="s">
        <v>278</v>
      </c>
      <c r="D5" s="2" t="s">
        <v>350</v>
      </c>
      <c r="E5" s="34" t="s">
        <v>280</v>
      </c>
      <c r="F5" s="178" t="s">
        <v>282</v>
      </c>
      <c r="G5" s="178" t="s">
        <v>0</v>
      </c>
      <c r="H5" s="178" t="s">
        <v>1</v>
      </c>
      <c r="I5" s="178" t="s">
        <v>2</v>
      </c>
      <c r="J5" s="178" t="s">
        <v>3</v>
      </c>
      <c r="K5" s="178" t="s">
        <v>4</v>
      </c>
      <c r="L5" s="178" t="s">
        <v>34</v>
      </c>
      <c r="M5" s="2" t="s">
        <v>283</v>
      </c>
      <c r="N5" s="178" t="s">
        <v>284</v>
      </c>
    </row>
    <row r="6" spans="1:14">
      <c r="A6" s="69" t="s">
        <v>285</v>
      </c>
      <c r="B6" s="70"/>
      <c r="C6" s="71"/>
      <c r="D6" s="70"/>
      <c r="E6" s="70"/>
      <c r="F6" s="70"/>
      <c r="G6" s="70"/>
      <c r="H6" s="70"/>
      <c r="I6" s="70"/>
      <c r="J6" s="70"/>
      <c r="K6" s="70"/>
      <c r="L6" s="70"/>
      <c r="M6" s="70"/>
      <c r="N6" s="70"/>
    </row>
    <row r="7" spans="1:14">
      <c r="A7" s="555" t="s">
        <v>708</v>
      </c>
      <c r="B7" s="36" t="s">
        <v>709</v>
      </c>
      <c r="C7" s="37" t="s">
        <v>287</v>
      </c>
      <c r="D7" s="38">
        <v>1</v>
      </c>
      <c r="E7" s="263">
        <v>194</v>
      </c>
      <c r="F7" s="309">
        <f>SUM(G7:M7)</f>
        <v>176</v>
      </c>
      <c r="G7" s="310">
        <v>0</v>
      </c>
      <c r="H7" s="310">
        <v>176</v>
      </c>
      <c r="I7" s="310">
        <v>0</v>
      </c>
      <c r="J7" s="310">
        <v>0</v>
      </c>
      <c r="K7" s="310">
        <v>0</v>
      </c>
      <c r="L7" s="310">
        <v>0</v>
      </c>
      <c r="M7" s="311">
        <v>0</v>
      </c>
      <c r="N7" s="325"/>
    </row>
    <row r="8" spans="1:14">
      <c r="A8" s="264" t="s">
        <v>710</v>
      </c>
      <c r="B8" s="36" t="s">
        <v>711</v>
      </c>
      <c r="C8" s="37" t="s">
        <v>287</v>
      </c>
      <c r="D8" s="38">
        <v>1</v>
      </c>
      <c r="E8" s="263">
        <v>146</v>
      </c>
      <c r="F8" s="309">
        <f t="shared" ref="F8:F34" si="0">SUM(G8:M8)</f>
        <v>141</v>
      </c>
      <c r="G8" s="310">
        <v>0</v>
      </c>
      <c r="H8" s="310">
        <v>0</v>
      </c>
      <c r="I8" s="310">
        <v>0</v>
      </c>
      <c r="J8" s="310">
        <v>141</v>
      </c>
      <c r="K8" s="310">
        <v>0</v>
      </c>
      <c r="L8" s="310">
        <v>0</v>
      </c>
      <c r="M8" s="311">
        <v>0</v>
      </c>
      <c r="N8" s="374"/>
    </row>
    <row r="9" spans="1:14" s="285" customFormat="1" ht="15.05" customHeight="1">
      <c r="A9" s="264" t="s">
        <v>712</v>
      </c>
      <c r="B9" s="36" t="s">
        <v>713</v>
      </c>
      <c r="C9" s="37" t="s">
        <v>287</v>
      </c>
      <c r="D9" s="38">
        <v>1</v>
      </c>
      <c r="E9" s="263">
        <v>159</v>
      </c>
      <c r="F9" s="309">
        <f t="shared" si="0"/>
        <v>156</v>
      </c>
      <c r="G9" s="310">
        <v>0</v>
      </c>
      <c r="H9" s="310">
        <v>0</v>
      </c>
      <c r="I9" s="310">
        <v>0</v>
      </c>
      <c r="J9" s="310">
        <v>156</v>
      </c>
      <c r="K9" s="310">
        <v>0</v>
      </c>
      <c r="L9" s="310">
        <v>0</v>
      </c>
      <c r="M9" s="311">
        <v>0</v>
      </c>
      <c r="N9" s="371"/>
    </row>
    <row r="10" spans="1:14" ht="15.05" customHeight="1">
      <c r="A10" s="264" t="s">
        <v>714</v>
      </c>
      <c r="B10" s="264" t="s">
        <v>715</v>
      </c>
      <c r="C10" s="37" t="s">
        <v>287</v>
      </c>
      <c r="D10" s="38">
        <v>1</v>
      </c>
      <c r="E10" s="263">
        <v>167</v>
      </c>
      <c r="F10" s="309">
        <f t="shared" si="0"/>
        <v>168</v>
      </c>
      <c r="G10" s="310">
        <v>0</v>
      </c>
      <c r="H10" s="310">
        <v>168</v>
      </c>
      <c r="I10" s="310">
        <v>0</v>
      </c>
      <c r="J10" s="310">
        <v>0</v>
      </c>
      <c r="K10" s="310">
        <v>0</v>
      </c>
      <c r="L10" s="310">
        <v>0</v>
      </c>
      <c r="M10" s="311">
        <v>0</v>
      </c>
      <c r="N10" s="325"/>
    </row>
    <row r="11" spans="1:14" s="151" customFormat="1">
      <c r="A11" s="264" t="s">
        <v>716</v>
      </c>
      <c r="B11" s="36" t="s">
        <v>717</v>
      </c>
      <c r="C11" s="37" t="s">
        <v>287</v>
      </c>
      <c r="D11" s="38">
        <v>1</v>
      </c>
      <c r="E11" s="263">
        <v>136</v>
      </c>
      <c r="F11" s="309">
        <f t="shared" si="0"/>
        <v>142</v>
      </c>
      <c r="G11" s="310">
        <v>0</v>
      </c>
      <c r="H11" s="310">
        <v>142</v>
      </c>
      <c r="I11" s="310">
        <v>0</v>
      </c>
      <c r="J11" s="310">
        <v>0</v>
      </c>
      <c r="K11" s="310">
        <v>0</v>
      </c>
      <c r="L11" s="310">
        <v>0</v>
      </c>
      <c r="M11" s="311">
        <v>0</v>
      </c>
      <c r="N11" s="325"/>
    </row>
    <row r="12" spans="1:14" s="285" customFormat="1">
      <c r="A12" s="264" t="s">
        <v>718</v>
      </c>
      <c r="B12" s="264" t="s">
        <v>719</v>
      </c>
      <c r="C12" s="37" t="s">
        <v>287</v>
      </c>
      <c r="D12" s="38">
        <v>1</v>
      </c>
      <c r="E12" s="263">
        <v>119</v>
      </c>
      <c r="F12" s="309">
        <f t="shared" si="0"/>
        <v>125</v>
      </c>
      <c r="G12" s="310">
        <v>0</v>
      </c>
      <c r="H12" s="310">
        <v>125</v>
      </c>
      <c r="I12" s="310">
        <v>0</v>
      </c>
      <c r="J12" s="310">
        <v>0</v>
      </c>
      <c r="K12" s="310">
        <v>0</v>
      </c>
      <c r="L12" s="310">
        <v>0</v>
      </c>
      <c r="M12" s="311">
        <v>0</v>
      </c>
      <c r="N12" s="325"/>
    </row>
    <row r="13" spans="1:14" s="381" customFormat="1" ht="29.7">
      <c r="A13" s="555" t="s">
        <v>720</v>
      </c>
      <c r="B13" s="555" t="s">
        <v>721</v>
      </c>
      <c r="C13" s="641" t="s">
        <v>287</v>
      </c>
      <c r="D13" s="38">
        <v>1</v>
      </c>
      <c r="E13" s="263">
        <v>96</v>
      </c>
      <c r="F13" s="309">
        <f t="shared" si="0"/>
        <v>0</v>
      </c>
      <c r="G13" s="310">
        <v>0</v>
      </c>
      <c r="H13" s="310">
        <v>0</v>
      </c>
      <c r="I13" s="310">
        <v>0</v>
      </c>
      <c r="J13" s="310">
        <v>0</v>
      </c>
      <c r="K13" s="310">
        <v>0</v>
      </c>
      <c r="L13" s="310">
        <v>0</v>
      </c>
      <c r="M13" s="311">
        <v>0</v>
      </c>
      <c r="N13" s="325" t="s">
        <v>722</v>
      </c>
    </row>
    <row r="14" spans="1:14" s="299" customFormat="1">
      <c r="A14" s="264" t="s">
        <v>723</v>
      </c>
      <c r="B14" s="264" t="s">
        <v>724</v>
      </c>
      <c r="C14" s="37" t="s">
        <v>287</v>
      </c>
      <c r="D14" s="38">
        <v>1</v>
      </c>
      <c r="E14" s="263">
        <v>153</v>
      </c>
      <c r="F14" s="309">
        <f t="shared" si="0"/>
        <v>155</v>
      </c>
      <c r="G14" s="310">
        <v>0</v>
      </c>
      <c r="H14" s="310">
        <v>155</v>
      </c>
      <c r="I14" s="310">
        <v>0</v>
      </c>
      <c r="J14" s="310">
        <v>0</v>
      </c>
      <c r="K14" s="310">
        <v>0</v>
      </c>
      <c r="L14" s="310">
        <v>0</v>
      </c>
      <c r="M14" s="311">
        <v>0</v>
      </c>
      <c r="N14" s="325"/>
    </row>
    <row r="15" spans="1:14" s="299" customFormat="1">
      <c r="A15" s="264" t="s">
        <v>725</v>
      </c>
      <c r="B15" s="264" t="s">
        <v>726</v>
      </c>
      <c r="C15" s="37" t="s">
        <v>287</v>
      </c>
      <c r="D15" s="38">
        <v>1</v>
      </c>
      <c r="E15" s="263">
        <v>123</v>
      </c>
      <c r="F15" s="309">
        <f t="shared" si="0"/>
        <v>115</v>
      </c>
      <c r="G15" s="310">
        <v>0</v>
      </c>
      <c r="H15" s="310">
        <v>115</v>
      </c>
      <c r="I15" s="310">
        <v>0</v>
      </c>
      <c r="J15" s="310">
        <v>0</v>
      </c>
      <c r="K15" s="310">
        <v>0</v>
      </c>
      <c r="L15" s="310">
        <v>0</v>
      </c>
      <c r="M15" s="311">
        <v>0</v>
      </c>
      <c r="N15" s="325"/>
    </row>
    <row r="16" spans="1:14" s="299" customFormat="1">
      <c r="A16" s="264" t="s">
        <v>727</v>
      </c>
      <c r="B16" s="265" t="s">
        <v>728</v>
      </c>
      <c r="C16" s="37" t="s">
        <v>287</v>
      </c>
      <c r="D16" s="38">
        <v>1</v>
      </c>
      <c r="E16" s="263">
        <v>130</v>
      </c>
      <c r="F16" s="309">
        <f t="shared" si="0"/>
        <v>133</v>
      </c>
      <c r="G16" s="310">
        <v>0</v>
      </c>
      <c r="H16" s="310">
        <v>133</v>
      </c>
      <c r="I16" s="310">
        <v>0</v>
      </c>
      <c r="J16" s="310">
        <v>0</v>
      </c>
      <c r="K16" s="310">
        <v>0</v>
      </c>
      <c r="L16" s="310">
        <v>0</v>
      </c>
      <c r="M16" s="311">
        <v>0</v>
      </c>
      <c r="N16" s="325"/>
    </row>
    <row r="17" spans="1:14" s="299" customFormat="1">
      <c r="A17" s="264" t="s">
        <v>729</v>
      </c>
      <c r="B17" s="264" t="s">
        <v>730</v>
      </c>
      <c r="C17" s="37" t="s">
        <v>287</v>
      </c>
      <c r="D17" s="38">
        <v>1</v>
      </c>
      <c r="E17" s="263">
        <v>124</v>
      </c>
      <c r="F17" s="309">
        <f t="shared" si="0"/>
        <v>129</v>
      </c>
      <c r="G17" s="310">
        <v>0</v>
      </c>
      <c r="H17" s="310">
        <v>129</v>
      </c>
      <c r="I17" s="310">
        <v>0</v>
      </c>
      <c r="J17" s="310">
        <v>0</v>
      </c>
      <c r="K17" s="310">
        <v>0</v>
      </c>
      <c r="L17" s="310">
        <v>0</v>
      </c>
      <c r="M17" s="311">
        <v>0</v>
      </c>
      <c r="N17" s="325"/>
    </row>
    <row r="18" spans="1:14" s="299" customFormat="1">
      <c r="A18" s="264" t="s">
        <v>731</v>
      </c>
      <c r="B18" s="264" t="s">
        <v>732</v>
      </c>
      <c r="C18" s="37" t="s">
        <v>287</v>
      </c>
      <c r="D18" s="38">
        <v>1</v>
      </c>
      <c r="E18" s="263">
        <v>74</v>
      </c>
      <c r="F18" s="309">
        <f t="shared" si="0"/>
        <v>76</v>
      </c>
      <c r="G18" s="310">
        <v>0</v>
      </c>
      <c r="H18" s="310">
        <v>76</v>
      </c>
      <c r="I18" s="310">
        <v>0</v>
      </c>
      <c r="J18" s="310">
        <v>0</v>
      </c>
      <c r="K18" s="310">
        <v>0</v>
      </c>
      <c r="L18" s="310">
        <v>0</v>
      </c>
      <c r="M18" s="311">
        <v>0</v>
      </c>
      <c r="N18" s="325"/>
    </row>
    <row r="19" spans="1:14" s="299" customFormat="1">
      <c r="A19" s="264" t="s">
        <v>733</v>
      </c>
      <c r="B19" s="264" t="s">
        <v>590</v>
      </c>
      <c r="C19" s="37" t="s">
        <v>287</v>
      </c>
      <c r="D19" s="38">
        <v>1</v>
      </c>
      <c r="E19" s="263">
        <v>103</v>
      </c>
      <c r="F19" s="309">
        <f t="shared" si="0"/>
        <v>105</v>
      </c>
      <c r="G19" s="310">
        <v>0</v>
      </c>
      <c r="H19" s="310">
        <v>105</v>
      </c>
      <c r="I19" s="310">
        <v>0</v>
      </c>
      <c r="J19" s="310">
        <v>0</v>
      </c>
      <c r="K19" s="310">
        <v>0</v>
      </c>
      <c r="L19" s="310">
        <v>0</v>
      </c>
      <c r="M19" s="311">
        <v>0</v>
      </c>
      <c r="N19" s="325"/>
    </row>
    <row r="20" spans="1:14" s="299" customFormat="1">
      <c r="A20" s="264" t="s">
        <v>734</v>
      </c>
      <c r="B20" s="264" t="s">
        <v>735</v>
      </c>
      <c r="C20" s="37" t="s">
        <v>287</v>
      </c>
      <c r="D20" s="38">
        <v>1</v>
      </c>
      <c r="E20" s="263">
        <v>102</v>
      </c>
      <c r="F20" s="309">
        <f t="shared" si="0"/>
        <v>101</v>
      </c>
      <c r="G20" s="310">
        <v>0</v>
      </c>
      <c r="H20" s="310">
        <v>101</v>
      </c>
      <c r="I20" s="310">
        <v>0</v>
      </c>
      <c r="J20" s="310">
        <v>0</v>
      </c>
      <c r="K20" s="310">
        <v>0</v>
      </c>
      <c r="L20" s="310">
        <v>0</v>
      </c>
      <c r="M20" s="311">
        <v>0</v>
      </c>
      <c r="N20" s="325"/>
    </row>
    <row r="21" spans="1:14" s="299" customFormat="1">
      <c r="A21" s="264" t="s">
        <v>736</v>
      </c>
      <c r="B21" s="264" t="s">
        <v>737</v>
      </c>
      <c r="C21" s="37" t="s">
        <v>287</v>
      </c>
      <c r="D21" s="38">
        <v>1</v>
      </c>
      <c r="E21" s="263">
        <v>90</v>
      </c>
      <c r="F21" s="309">
        <f t="shared" si="0"/>
        <v>99</v>
      </c>
      <c r="G21" s="310">
        <v>0</v>
      </c>
      <c r="H21" s="310">
        <v>0</v>
      </c>
      <c r="I21" s="310">
        <v>0</v>
      </c>
      <c r="J21" s="310">
        <v>99</v>
      </c>
      <c r="K21" s="310">
        <v>0</v>
      </c>
      <c r="L21" s="310">
        <v>0</v>
      </c>
      <c r="M21" s="311">
        <v>0</v>
      </c>
      <c r="N21" s="325"/>
    </row>
    <row r="22" spans="1:14" s="300" customFormat="1">
      <c r="A22" s="264" t="s">
        <v>736</v>
      </c>
      <c r="B22" s="264" t="s">
        <v>738</v>
      </c>
      <c r="C22" s="37" t="s">
        <v>287</v>
      </c>
      <c r="D22" s="38">
        <v>1</v>
      </c>
      <c r="E22" s="263">
        <v>95</v>
      </c>
      <c r="F22" s="309">
        <f t="shared" si="0"/>
        <v>93</v>
      </c>
      <c r="G22" s="310">
        <v>0</v>
      </c>
      <c r="H22" s="310">
        <v>93</v>
      </c>
      <c r="I22" s="310">
        <v>0</v>
      </c>
      <c r="J22" s="310">
        <v>0</v>
      </c>
      <c r="K22" s="310">
        <v>0</v>
      </c>
      <c r="L22" s="310">
        <v>0</v>
      </c>
      <c r="M22" s="311">
        <v>0</v>
      </c>
      <c r="N22" s="325"/>
    </row>
    <row r="23" spans="1:14" s="299" customFormat="1">
      <c r="A23" s="264" t="s">
        <v>736</v>
      </c>
      <c r="B23" s="264" t="s">
        <v>739</v>
      </c>
      <c r="C23" s="37" t="s">
        <v>287</v>
      </c>
      <c r="D23" s="38">
        <v>1</v>
      </c>
      <c r="E23" s="263">
        <v>113</v>
      </c>
      <c r="F23" s="309">
        <f t="shared" si="0"/>
        <v>99</v>
      </c>
      <c r="G23" s="310">
        <v>0</v>
      </c>
      <c r="H23" s="310">
        <v>99</v>
      </c>
      <c r="I23" s="310">
        <v>0</v>
      </c>
      <c r="J23" s="310">
        <v>0</v>
      </c>
      <c r="K23" s="310">
        <v>0</v>
      </c>
      <c r="L23" s="310">
        <v>0</v>
      </c>
      <c r="M23" s="311">
        <v>0</v>
      </c>
      <c r="N23" s="325"/>
    </row>
    <row r="24" spans="1:14" s="299" customFormat="1">
      <c r="A24" s="264" t="s">
        <v>720</v>
      </c>
      <c r="B24" s="264" t="s">
        <v>590</v>
      </c>
      <c r="C24" s="37" t="s">
        <v>287</v>
      </c>
      <c r="D24" s="38">
        <v>1</v>
      </c>
      <c r="E24" s="263">
        <v>0</v>
      </c>
      <c r="F24" s="309">
        <f t="shared" si="0"/>
        <v>86</v>
      </c>
      <c r="G24" s="310"/>
      <c r="H24" s="310"/>
      <c r="I24" s="310"/>
      <c r="J24" s="310"/>
      <c r="K24" s="310"/>
      <c r="L24" s="310"/>
      <c r="M24" s="311">
        <v>86</v>
      </c>
      <c r="N24" s="325"/>
    </row>
    <row r="25" spans="1:14" s="299" customFormat="1">
      <c r="A25" s="264" t="s">
        <v>740</v>
      </c>
      <c r="B25" s="264" t="s">
        <v>590</v>
      </c>
      <c r="C25" s="37" t="s">
        <v>287</v>
      </c>
      <c r="D25" s="38">
        <v>1</v>
      </c>
      <c r="E25" s="372">
        <v>110</v>
      </c>
      <c r="F25" s="309">
        <f t="shared" si="0"/>
        <v>104</v>
      </c>
      <c r="G25" s="370">
        <v>0</v>
      </c>
      <c r="H25" s="370">
        <v>0</v>
      </c>
      <c r="I25" s="370">
        <v>0</v>
      </c>
      <c r="J25" s="370">
        <v>0</v>
      </c>
      <c r="K25" s="370">
        <v>0</v>
      </c>
      <c r="L25" s="370">
        <v>0</v>
      </c>
      <c r="M25" s="311">
        <v>104</v>
      </c>
      <c r="N25" s="371"/>
    </row>
    <row r="26" spans="1:14" s="299" customFormat="1">
      <c r="A26" s="264" t="s">
        <v>740</v>
      </c>
      <c r="B26" s="264" t="s">
        <v>590</v>
      </c>
      <c r="C26" s="37" t="s">
        <v>287</v>
      </c>
      <c r="D26" s="38">
        <v>1</v>
      </c>
      <c r="E26" s="263">
        <v>107</v>
      </c>
      <c r="F26" s="309">
        <f t="shared" si="0"/>
        <v>104</v>
      </c>
      <c r="G26" s="370">
        <v>0</v>
      </c>
      <c r="H26" s="370">
        <v>0</v>
      </c>
      <c r="I26" s="370">
        <v>0</v>
      </c>
      <c r="J26" s="370">
        <v>0</v>
      </c>
      <c r="K26" s="370">
        <v>0</v>
      </c>
      <c r="L26" s="370">
        <v>0</v>
      </c>
      <c r="M26" s="311">
        <v>104</v>
      </c>
      <c r="N26" s="371"/>
    </row>
    <row r="27" spans="1:14" s="299" customFormat="1">
      <c r="A27" s="264" t="s">
        <v>736</v>
      </c>
      <c r="B27" s="264" t="s">
        <v>741</v>
      </c>
      <c r="C27" s="37" t="s">
        <v>287</v>
      </c>
      <c r="D27" s="38">
        <v>1</v>
      </c>
      <c r="E27" s="263">
        <v>115</v>
      </c>
      <c r="F27" s="309">
        <f t="shared" si="0"/>
        <v>120</v>
      </c>
      <c r="G27" s="370">
        <v>120</v>
      </c>
      <c r="H27" s="370">
        <v>0</v>
      </c>
      <c r="I27" s="370">
        <v>0</v>
      </c>
      <c r="J27" s="370">
        <v>0</v>
      </c>
      <c r="K27" s="370">
        <v>0</v>
      </c>
      <c r="L27" s="370">
        <v>0</v>
      </c>
      <c r="M27" s="373">
        <v>0</v>
      </c>
      <c r="N27" s="374"/>
    </row>
    <row r="28" spans="1:14" s="299" customFormat="1">
      <c r="A28" s="264" t="s">
        <v>742</v>
      </c>
      <c r="B28" s="265" t="s">
        <v>743</v>
      </c>
      <c r="C28" s="37" t="s">
        <v>287</v>
      </c>
      <c r="D28" s="38">
        <v>0.5</v>
      </c>
      <c r="E28" s="263">
        <v>52</v>
      </c>
      <c r="F28" s="309">
        <f t="shared" si="0"/>
        <v>55</v>
      </c>
      <c r="G28" s="370">
        <v>0</v>
      </c>
      <c r="H28" s="370">
        <v>55</v>
      </c>
      <c r="I28" s="370">
        <v>0</v>
      </c>
      <c r="J28" s="370">
        <v>0</v>
      </c>
      <c r="K28" s="370">
        <v>0</v>
      </c>
      <c r="L28" s="370">
        <v>0</v>
      </c>
      <c r="M28" s="373">
        <v>0</v>
      </c>
      <c r="N28" s="374" t="s">
        <v>744</v>
      </c>
    </row>
    <row r="29" spans="1:14" s="299" customFormat="1">
      <c r="A29" s="264" t="s">
        <v>745</v>
      </c>
      <c r="B29" s="265" t="s">
        <v>746</v>
      </c>
      <c r="C29" s="37" t="s">
        <v>287</v>
      </c>
      <c r="D29" s="38">
        <v>1</v>
      </c>
      <c r="E29" s="263">
        <v>77</v>
      </c>
      <c r="F29" s="309">
        <f t="shared" si="0"/>
        <v>86</v>
      </c>
      <c r="G29" s="370">
        <v>0</v>
      </c>
      <c r="H29" s="370">
        <v>86</v>
      </c>
      <c r="I29" s="370">
        <v>0</v>
      </c>
      <c r="J29" s="370">
        <v>0</v>
      </c>
      <c r="K29" s="370">
        <v>0</v>
      </c>
      <c r="L29" s="370">
        <v>0</v>
      </c>
      <c r="M29" s="373">
        <v>0</v>
      </c>
      <c r="N29" s="374"/>
    </row>
    <row r="30" spans="1:14" s="299" customFormat="1">
      <c r="A30" s="264" t="s">
        <v>747</v>
      </c>
      <c r="B30" s="264" t="s">
        <v>748</v>
      </c>
      <c r="C30" s="37" t="s">
        <v>287</v>
      </c>
      <c r="D30" s="38">
        <v>1</v>
      </c>
      <c r="E30" s="263">
        <v>117</v>
      </c>
      <c r="F30" s="309">
        <f t="shared" si="0"/>
        <v>120</v>
      </c>
      <c r="G30" s="370">
        <v>0</v>
      </c>
      <c r="H30" s="370">
        <v>120</v>
      </c>
      <c r="I30" s="370">
        <v>0</v>
      </c>
      <c r="J30" s="370">
        <v>0</v>
      </c>
      <c r="K30" s="370">
        <v>0</v>
      </c>
      <c r="L30" s="370">
        <v>0</v>
      </c>
      <c r="M30" s="373">
        <v>0</v>
      </c>
      <c r="N30" s="374"/>
    </row>
    <row r="31" spans="1:14" s="299" customFormat="1">
      <c r="A31" s="264" t="s">
        <v>749</v>
      </c>
      <c r="B31" s="265" t="s">
        <v>590</v>
      </c>
      <c r="C31" s="37" t="s">
        <v>287</v>
      </c>
      <c r="D31" s="38">
        <v>1</v>
      </c>
      <c r="E31" s="263">
        <v>95</v>
      </c>
      <c r="F31" s="309">
        <f t="shared" si="0"/>
        <v>105</v>
      </c>
      <c r="G31" s="370">
        <v>0</v>
      </c>
      <c r="H31" s="370">
        <v>105</v>
      </c>
      <c r="I31" s="370">
        <v>0</v>
      </c>
      <c r="J31" s="370">
        <v>0</v>
      </c>
      <c r="K31" s="370">
        <v>0</v>
      </c>
      <c r="L31" s="370">
        <v>0</v>
      </c>
      <c r="M31" s="373">
        <v>0</v>
      </c>
      <c r="N31" s="374"/>
    </row>
    <row r="32" spans="1:14" s="299" customFormat="1">
      <c r="A32" s="264" t="s">
        <v>750</v>
      </c>
      <c r="B32" s="265" t="s">
        <v>751</v>
      </c>
      <c r="C32" s="37" t="s">
        <v>287</v>
      </c>
      <c r="D32" s="38">
        <v>1</v>
      </c>
      <c r="E32" s="263">
        <v>107</v>
      </c>
      <c r="F32" s="309">
        <f t="shared" si="0"/>
        <v>111</v>
      </c>
      <c r="G32" s="370">
        <v>0</v>
      </c>
      <c r="H32" s="370">
        <v>0</v>
      </c>
      <c r="I32" s="370">
        <v>0</v>
      </c>
      <c r="J32" s="370">
        <v>0</v>
      </c>
      <c r="K32" s="370">
        <v>0</v>
      </c>
      <c r="L32" s="370">
        <v>0</v>
      </c>
      <c r="M32" s="311">
        <v>111</v>
      </c>
      <c r="N32" s="374"/>
    </row>
    <row r="33" spans="1:14" s="299" customFormat="1">
      <c r="A33" s="264" t="s">
        <v>752</v>
      </c>
      <c r="B33" s="264" t="s">
        <v>753</v>
      </c>
      <c r="C33" s="37" t="s">
        <v>287</v>
      </c>
      <c r="D33" s="38">
        <v>1</v>
      </c>
      <c r="E33" s="263">
        <v>95</v>
      </c>
      <c r="F33" s="309">
        <f t="shared" si="0"/>
        <v>86</v>
      </c>
      <c r="G33" s="370">
        <v>0</v>
      </c>
      <c r="H33" s="370">
        <v>86</v>
      </c>
      <c r="I33" s="370">
        <v>0</v>
      </c>
      <c r="J33" s="370">
        <v>0</v>
      </c>
      <c r="K33" s="370">
        <v>0</v>
      </c>
      <c r="L33" s="370">
        <v>0</v>
      </c>
      <c r="M33" s="311">
        <v>0</v>
      </c>
      <c r="N33" s="374"/>
    </row>
    <row r="34" spans="1:14" s="299" customFormat="1">
      <c r="A34" s="264" t="s">
        <v>752</v>
      </c>
      <c r="B34" s="264" t="s">
        <v>754</v>
      </c>
      <c r="C34" s="37" t="s">
        <v>287</v>
      </c>
      <c r="D34" s="38">
        <v>1</v>
      </c>
      <c r="E34" s="263">
        <v>91</v>
      </c>
      <c r="F34" s="309">
        <f t="shared" si="0"/>
        <v>86</v>
      </c>
      <c r="G34" s="370">
        <v>0</v>
      </c>
      <c r="H34" s="370">
        <v>0</v>
      </c>
      <c r="I34" s="370">
        <v>0</v>
      </c>
      <c r="J34" s="370">
        <v>0</v>
      </c>
      <c r="K34" s="370">
        <v>0</v>
      </c>
      <c r="L34" s="370">
        <v>0</v>
      </c>
      <c r="M34" s="311">
        <v>86</v>
      </c>
      <c r="N34" s="374"/>
    </row>
    <row r="35" spans="1:14">
      <c r="A35" s="40" t="s">
        <v>288</v>
      </c>
      <c r="B35" s="265"/>
      <c r="C35" s="266"/>
      <c r="D35" s="41">
        <f t="shared" ref="D35:M35" si="1">SUM(D7:D34)</f>
        <v>27.5</v>
      </c>
      <c r="E35" s="43">
        <f t="shared" si="1"/>
        <v>3090</v>
      </c>
      <c r="F35" s="43">
        <f t="shared" si="1"/>
        <v>3076</v>
      </c>
      <c r="G35" s="43">
        <f t="shared" si="1"/>
        <v>120</v>
      </c>
      <c r="H35" s="43">
        <f t="shared" si="1"/>
        <v>2069</v>
      </c>
      <c r="I35" s="43">
        <f t="shared" si="1"/>
        <v>0</v>
      </c>
      <c r="J35" s="43">
        <f t="shared" si="1"/>
        <v>396</v>
      </c>
      <c r="K35" s="43">
        <f t="shared" si="1"/>
        <v>0</v>
      </c>
      <c r="L35" s="43">
        <f t="shared" si="1"/>
        <v>0</v>
      </c>
      <c r="M35" s="43">
        <f t="shared" si="1"/>
        <v>491</v>
      </c>
      <c r="N35" s="57"/>
    </row>
    <row r="36" spans="1:14">
      <c r="A36" s="69" t="s">
        <v>289</v>
      </c>
      <c r="B36" s="70"/>
      <c r="C36" s="71"/>
      <c r="D36" s="70"/>
      <c r="E36" s="70"/>
      <c r="F36" s="70"/>
      <c r="G36" s="70"/>
      <c r="H36" s="70"/>
      <c r="I36" s="70"/>
      <c r="J36" s="70"/>
      <c r="K36" s="70"/>
      <c r="L36" s="70"/>
      <c r="M36" s="70"/>
      <c r="N36" s="70"/>
    </row>
    <row r="37" spans="1:14">
      <c r="A37" s="264" t="s">
        <v>379</v>
      </c>
      <c r="B37" s="264"/>
      <c r="C37" s="44">
        <v>253</v>
      </c>
      <c r="D37" s="45"/>
      <c r="E37" s="163">
        <v>0</v>
      </c>
      <c r="F37" s="164">
        <f>SUM(G37:M37)</f>
        <v>0</v>
      </c>
      <c r="G37" s="165"/>
      <c r="H37" s="165"/>
      <c r="I37" s="165"/>
      <c r="J37" s="165">
        <v>0</v>
      </c>
      <c r="K37" s="165">
        <v>0</v>
      </c>
      <c r="L37" s="165">
        <v>0</v>
      </c>
      <c r="M37" s="166">
        <v>0</v>
      </c>
      <c r="N37" s="382"/>
    </row>
    <row r="38" spans="1:14">
      <c r="A38" s="264" t="s">
        <v>379</v>
      </c>
      <c r="B38" s="264"/>
      <c r="C38" s="44">
        <v>253</v>
      </c>
      <c r="D38" s="45"/>
      <c r="E38" s="163">
        <v>0</v>
      </c>
      <c r="F38" s="164">
        <f>SUM(G38:M38)</f>
        <v>0</v>
      </c>
      <c r="G38" s="165"/>
      <c r="H38" s="165"/>
      <c r="I38" s="165"/>
      <c r="J38" s="165">
        <v>0</v>
      </c>
      <c r="K38" s="165">
        <v>0</v>
      </c>
      <c r="L38" s="165">
        <v>0</v>
      </c>
      <c r="M38" s="166">
        <v>0</v>
      </c>
      <c r="N38" s="36"/>
    </row>
    <row r="39" spans="1:14">
      <c r="A39" s="264" t="s">
        <v>379</v>
      </c>
      <c r="B39" s="264"/>
      <c r="C39" s="44">
        <v>253</v>
      </c>
      <c r="D39" s="267"/>
      <c r="E39" s="163">
        <v>0</v>
      </c>
      <c r="F39" s="164">
        <f>SUM(G39:M39)</f>
        <v>0</v>
      </c>
      <c r="G39" s="165"/>
      <c r="H39" s="165"/>
      <c r="I39" s="165"/>
      <c r="J39" s="165">
        <v>0</v>
      </c>
      <c r="K39" s="165">
        <v>0</v>
      </c>
      <c r="L39" s="165">
        <v>0</v>
      </c>
      <c r="M39" s="166">
        <v>0</v>
      </c>
      <c r="N39" s="57"/>
    </row>
    <row r="40" spans="1:14" s="7" customFormat="1">
      <c r="A40" s="264" t="s">
        <v>427</v>
      </c>
      <c r="B40" s="264"/>
      <c r="C40" s="44">
        <v>253</v>
      </c>
      <c r="D40" s="267"/>
      <c r="E40" s="163">
        <v>0</v>
      </c>
      <c r="F40" s="164">
        <f>SUM(G40:M40)</f>
        <v>0</v>
      </c>
      <c r="G40" s="165"/>
      <c r="H40" s="165"/>
      <c r="I40" s="165"/>
      <c r="J40" s="165">
        <v>0</v>
      </c>
      <c r="K40" s="165">
        <v>0</v>
      </c>
      <c r="L40" s="165">
        <v>0</v>
      </c>
      <c r="M40" s="166">
        <v>0</v>
      </c>
      <c r="N40" s="36"/>
    </row>
    <row r="41" spans="1:14">
      <c r="A41" s="40" t="s">
        <v>294</v>
      </c>
      <c r="B41" s="265"/>
      <c r="C41" s="266"/>
      <c r="D41" s="267">
        <f>SUM(D37:D40)</f>
        <v>0</v>
      </c>
      <c r="E41" s="42">
        <v>0</v>
      </c>
      <c r="F41" s="43">
        <f>SUM(F37:F40)</f>
        <v>0</v>
      </c>
      <c r="G41" s="43">
        <f t="shared" ref="G41:M41" si="2">SUM(G37:G40)</f>
        <v>0</v>
      </c>
      <c r="H41" s="43">
        <f t="shared" si="2"/>
        <v>0</v>
      </c>
      <c r="I41" s="43">
        <f t="shared" si="2"/>
        <v>0</v>
      </c>
      <c r="J41" s="43">
        <f t="shared" si="2"/>
        <v>0</v>
      </c>
      <c r="K41" s="43">
        <f t="shared" si="2"/>
        <v>0</v>
      </c>
      <c r="L41" s="43">
        <f t="shared" si="2"/>
        <v>0</v>
      </c>
      <c r="M41" s="43">
        <f t="shared" si="2"/>
        <v>0</v>
      </c>
      <c r="N41" s="57"/>
    </row>
    <row r="42" spans="1:14" s="7" customFormat="1">
      <c r="A42" s="69" t="s">
        <v>295</v>
      </c>
      <c r="B42" s="70"/>
      <c r="C42" s="71"/>
      <c r="D42" s="70"/>
      <c r="E42" s="70"/>
      <c r="F42" s="70"/>
      <c r="G42" s="70"/>
      <c r="H42" s="70"/>
      <c r="I42" s="70"/>
      <c r="J42" s="70"/>
      <c r="K42" s="70"/>
      <c r="L42" s="70"/>
      <c r="M42" s="70"/>
      <c r="N42" s="70"/>
    </row>
    <row r="43" spans="1:14" s="285" customFormat="1" ht="29.7">
      <c r="A43" s="301" t="s">
        <v>296</v>
      </c>
      <c r="B43" s="36"/>
      <c r="C43" s="37" t="s">
        <v>297</v>
      </c>
      <c r="D43" s="38">
        <v>0</v>
      </c>
      <c r="E43" s="163">
        <v>53</v>
      </c>
      <c r="F43" s="164">
        <f t="shared" ref="F43:F56" si="3">SUM(G43:M43)</f>
        <v>56</v>
      </c>
      <c r="G43" s="310">
        <v>6</v>
      </c>
      <c r="H43" s="310">
        <v>25</v>
      </c>
      <c r="I43" s="310">
        <v>0</v>
      </c>
      <c r="J43" s="310">
        <v>18</v>
      </c>
      <c r="K43" s="310">
        <v>0</v>
      </c>
      <c r="L43" s="310">
        <v>0</v>
      </c>
      <c r="M43" s="311">
        <v>7</v>
      </c>
      <c r="N43" s="325" t="s">
        <v>755</v>
      </c>
    </row>
    <row r="44" spans="1:14" s="381" customFormat="1">
      <c r="A44" s="301" t="s">
        <v>296</v>
      </c>
      <c r="B44" s="36"/>
      <c r="C44" s="37" t="s">
        <v>297</v>
      </c>
      <c r="D44" s="38"/>
      <c r="E44" s="163">
        <v>0</v>
      </c>
      <c r="F44" s="164">
        <f t="shared" si="3"/>
        <v>0</v>
      </c>
      <c r="G44" s="310">
        <v>0</v>
      </c>
      <c r="H44" s="310">
        <v>0</v>
      </c>
      <c r="I44" s="310">
        <v>0</v>
      </c>
      <c r="J44" s="310">
        <v>0</v>
      </c>
      <c r="K44" s="310">
        <v>0</v>
      </c>
      <c r="L44" s="310">
        <v>0</v>
      </c>
      <c r="M44" s="311">
        <v>0</v>
      </c>
      <c r="N44" s="327"/>
    </row>
    <row r="45" spans="1:14" s="285" customFormat="1">
      <c r="A45" s="301" t="s">
        <v>298</v>
      </c>
      <c r="B45" s="36"/>
      <c r="C45" s="44" t="s">
        <v>299</v>
      </c>
      <c r="D45" s="45"/>
      <c r="E45" s="163">
        <v>1</v>
      </c>
      <c r="F45" s="164">
        <f t="shared" si="3"/>
        <v>0</v>
      </c>
      <c r="G45" s="310">
        <v>0</v>
      </c>
      <c r="H45" s="310">
        <v>0</v>
      </c>
      <c r="I45" s="310">
        <v>0</v>
      </c>
      <c r="J45" s="310">
        <v>0</v>
      </c>
      <c r="K45" s="310">
        <v>0</v>
      </c>
      <c r="L45" s="310">
        <v>0</v>
      </c>
      <c r="M45" s="311">
        <v>0</v>
      </c>
      <c r="N45" s="325"/>
    </row>
    <row r="46" spans="1:14" s="285" customFormat="1">
      <c r="A46" s="301" t="s">
        <v>300</v>
      </c>
      <c r="B46" s="36"/>
      <c r="C46" s="44" t="s">
        <v>301</v>
      </c>
      <c r="D46" s="45"/>
      <c r="E46" s="163">
        <v>1</v>
      </c>
      <c r="F46" s="164">
        <f t="shared" si="3"/>
        <v>0</v>
      </c>
      <c r="G46" s="310">
        <v>0</v>
      </c>
      <c r="H46" s="310">
        <v>0</v>
      </c>
      <c r="I46" s="310">
        <v>0</v>
      </c>
      <c r="J46" s="310"/>
      <c r="K46" s="310">
        <v>0</v>
      </c>
      <c r="L46" s="310">
        <v>0</v>
      </c>
      <c r="M46" s="311">
        <v>0</v>
      </c>
      <c r="N46" s="325" t="s">
        <v>756</v>
      </c>
    </row>
    <row r="47" spans="1:14" s="285" customFormat="1">
      <c r="A47" s="301" t="s">
        <v>302</v>
      </c>
      <c r="B47" s="36"/>
      <c r="C47" s="44" t="s">
        <v>303</v>
      </c>
      <c r="D47" s="45"/>
      <c r="E47" s="163">
        <v>1</v>
      </c>
      <c r="F47" s="164">
        <f t="shared" si="3"/>
        <v>0</v>
      </c>
      <c r="G47" s="310">
        <v>0</v>
      </c>
      <c r="H47" s="310">
        <v>0</v>
      </c>
      <c r="I47" s="310">
        <v>0</v>
      </c>
      <c r="J47" s="310">
        <v>0</v>
      </c>
      <c r="K47" s="310">
        <v>0</v>
      </c>
      <c r="L47" s="310">
        <v>0</v>
      </c>
      <c r="M47" s="311">
        <v>0</v>
      </c>
      <c r="N47" s="325"/>
    </row>
    <row r="48" spans="1:14" s="285" customFormat="1">
      <c r="A48" s="301" t="s">
        <v>304</v>
      </c>
      <c r="B48" s="36"/>
      <c r="C48" s="44">
        <v>251</v>
      </c>
      <c r="D48" s="45"/>
      <c r="E48" s="163">
        <v>0</v>
      </c>
      <c r="F48" s="164">
        <f t="shared" si="3"/>
        <v>0</v>
      </c>
      <c r="G48" s="310">
        <v>0</v>
      </c>
      <c r="H48" s="310">
        <v>0</v>
      </c>
      <c r="I48" s="310">
        <v>0</v>
      </c>
      <c r="J48" s="310">
        <v>0</v>
      </c>
      <c r="K48" s="310">
        <v>0</v>
      </c>
      <c r="L48" s="310">
        <v>0</v>
      </c>
      <c r="M48" s="311">
        <v>0</v>
      </c>
      <c r="N48" s="325"/>
    </row>
    <row r="49" spans="1:14" s="285" customFormat="1">
      <c r="A49" s="301" t="s">
        <v>313</v>
      </c>
      <c r="B49" s="36" t="s">
        <v>757</v>
      </c>
      <c r="C49" s="44">
        <v>252</v>
      </c>
      <c r="D49" s="45"/>
      <c r="E49" s="163">
        <v>20</v>
      </c>
      <c r="F49" s="164">
        <f t="shared" si="3"/>
        <v>16</v>
      </c>
      <c r="G49" s="310">
        <v>0</v>
      </c>
      <c r="H49" s="310">
        <v>16</v>
      </c>
      <c r="I49" s="310">
        <v>0</v>
      </c>
      <c r="J49" s="310">
        <v>0</v>
      </c>
      <c r="K49" s="310">
        <v>0</v>
      </c>
      <c r="L49" s="310">
        <v>0</v>
      </c>
      <c r="M49" s="311">
        <v>0</v>
      </c>
      <c r="N49" s="325"/>
    </row>
    <row r="50" spans="1:14" s="285" customFormat="1" ht="29.7">
      <c r="A50" s="301" t="s">
        <v>314</v>
      </c>
      <c r="B50" s="36"/>
      <c r="C50" s="44">
        <v>252</v>
      </c>
      <c r="D50" s="45"/>
      <c r="E50" s="163">
        <v>20</v>
      </c>
      <c r="F50" s="164">
        <f t="shared" si="3"/>
        <v>21</v>
      </c>
      <c r="G50" s="310">
        <v>2</v>
      </c>
      <c r="H50" s="310">
        <v>10</v>
      </c>
      <c r="I50" s="310">
        <v>0</v>
      </c>
      <c r="J50" s="310">
        <v>6</v>
      </c>
      <c r="K50" s="310">
        <v>0</v>
      </c>
      <c r="L50" s="310">
        <v>0</v>
      </c>
      <c r="M50" s="311">
        <v>3</v>
      </c>
      <c r="N50" s="325" t="s">
        <v>758</v>
      </c>
    </row>
    <row r="51" spans="1:14" s="285" customFormat="1">
      <c r="A51" s="301" t="s">
        <v>315</v>
      </c>
      <c r="B51" s="36"/>
      <c r="C51" s="44">
        <v>253</v>
      </c>
      <c r="D51" s="264"/>
      <c r="E51" s="163">
        <v>0</v>
      </c>
      <c r="F51" s="164">
        <f t="shared" si="3"/>
        <v>0</v>
      </c>
      <c r="G51" s="310">
        <v>0</v>
      </c>
      <c r="H51" s="310">
        <v>0</v>
      </c>
      <c r="I51" s="310">
        <v>0</v>
      </c>
      <c r="J51" s="310">
        <v>0</v>
      </c>
      <c r="K51" s="310">
        <v>0</v>
      </c>
      <c r="L51" s="310">
        <v>0</v>
      </c>
      <c r="M51" s="311">
        <v>0</v>
      </c>
      <c r="N51" s="325"/>
    </row>
    <row r="52" spans="1:14" s="285" customFormat="1">
      <c r="A52" s="301" t="s">
        <v>316</v>
      </c>
      <c r="B52" s="36"/>
      <c r="C52" s="44">
        <v>255</v>
      </c>
      <c r="D52" s="264"/>
      <c r="E52" s="163">
        <v>0</v>
      </c>
      <c r="F52" s="164">
        <f t="shared" si="3"/>
        <v>0</v>
      </c>
      <c r="G52" s="310">
        <v>0</v>
      </c>
      <c r="H52" s="310">
        <v>0</v>
      </c>
      <c r="I52" s="310">
        <v>0</v>
      </c>
      <c r="J52" s="310">
        <v>0</v>
      </c>
      <c r="K52" s="310">
        <v>0</v>
      </c>
      <c r="L52" s="310">
        <v>0</v>
      </c>
      <c r="M52" s="311">
        <v>0</v>
      </c>
      <c r="N52" s="325"/>
    </row>
    <row r="53" spans="1:14" s="285" customFormat="1">
      <c r="A53" s="301" t="s">
        <v>317</v>
      </c>
      <c r="B53" s="36"/>
      <c r="C53" s="44">
        <v>256</v>
      </c>
      <c r="D53" s="264"/>
      <c r="E53" s="163">
        <v>0</v>
      </c>
      <c r="F53" s="164">
        <f t="shared" si="3"/>
        <v>0</v>
      </c>
      <c r="G53" s="310">
        <v>0</v>
      </c>
      <c r="H53" s="310">
        <v>0</v>
      </c>
      <c r="I53" s="310">
        <v>0</v>
      </c>
      <c r="J53" s="310">
        <v>0</v>
      </c>
      <c r="K53" s="310">
        <v>0</v>
      </c>
      <c r="L53" s="310">
        <v>0</v>
      </c>
      <c r="M53" s="311">
        <v>0</v>
      </c>
      <c r="N53" s="325"/>
    </row>
    <row r="54" spans="1:14" s="285" customFormat="1">
      <c r="A54" s="301" t="s">
        <v>318</v>
      </c>
      <c r="B54" s="36"/>
      <c r="C54" s="44">
        <v>257</v>
      </c>
      <c r="D54" s="264"/>
      <c r="E54" s="163">
        <v>0</v>
      </c>
      <c r="F54" s="164">
        <f t="shared" si="3"/>
        <v>0</v>
      </c>
      <c r="G54" s="310">
        <v>0</v>
      </c>
      <c r="H54" s="310">
        <v>0</v>
      </c>
      <c r="I54" s="310">
        <v>0</v>
      </c>
      <c r="J54" s="310">
        <v>0</v>
      </c>
      <c r="K54" s="310">
        <v>0</v>
      </c>
      <c r="L54" s="310">
        <v>0</v>
      </c>
      <c r="M54" s="311">
        <v>0</v>
      </c>
      <c r="N54" s="325"/>
    </row>
    <row r="55" spans="1:14" s="285" customFormat="1">
      <c r="A55" s="301" t="s">
        <v>319</v>
      </c>
      <c r="B55" s="36"/>
      <c r="C55" s="44" t="s">
        <v>320</v>
      </c>
      <c r="D55" s="264"/>
      <c r="E55" s="163">
        <v>20</v>
      </c>
      <c r="F55" s="164">
        <f t="shared" si="3"/>
        <v>20</v>
      </c>
      <c r="G55" s="310">
        <v>0</v>
      </c>
      <c r="H55" s="310">
        <v>20</v>
      </c>
      <c r="I55" s="310">
        <v>0</v>
      </c>
      <c r="J55" s="310">
        <v>0</v>
      </c>
      <c r="K55" s="310">
        <v>0</v>
      </c>
      <c r="L55" s="310">
        <v>0</v>
      </c>
      <c r="M55" s="311">
        <v>0</v>
      </c>
      <c r="N55" s="325"/>
    </row>
    <row r="56" spans="1:14" s="285" customFormat="1">
      <c r="A56" s="302" t="s">
        <v>321</v>
      </c>
      <c r="B56" s="36"/>
      <c r="C56" s="266" t="s">
        <v>322</v>
      </c>
      <c r="D56" s="265"/>
      <c r="E56" s="163">
        <v>20</v>
      </c>
      <c r="F56" s="164">
        <f t="shared" si="3"/>
        <v>20</v>
      </c>
      <c r="G56" s="310">
        <v>0</v>
      </c>
      <c r="H56" s="310">
        <v>20</v>
      </c>
      <c r="I56" s="310">
        <v>0</v>
      </c>
      <c r="J56" s="310">
        <v>0</v>
      </c>
      <c r="K56" s="310">
        <v>0</v>
      </c>
      <c r="L56" s="310">
        <v>0</v>
      </c>
      <c r="M56" s="311">
        <v>0</v>
      </c>
      <c r="N56" s="325"/>
    </row>
    <row r="57" spans="1:14">
      <c r="A57" s="40" t="s">
        <v>326</v>
      </c>
      <c r="B57" s="265"/>
      <c r="C57" s="266"/>
      <c r="D57" s="267"/>
      <c r="E57" s="43">
        <f t="shared" ref="E57:M57" si="4">SUM(E43:E56)</f>
        <v>136</v>
      </c>
      <c r="F57" s="43">
        <f t="shared" si="4"/>
        <v>133</v>
      </c>
      <c r="G57" s="43">
        <f t="shared" si="4"/>
        <v>8</v>
      </c>
      <c r="H57" s="43">
        <f t="shared" si="4"/>
        <v>91</v>
      </c>
      <c r="I57" s="43">
        <f t="shared" si="4"/>
        <v>0</v>
      </c>
      <c r="J57" s="43">
        <f t="shared" si="4"/>
        <v>24</v>
      </c>
      <c r="K57" s="43">
        <f t="shared" si="4"/>
        <v>0</v>
      </c>
      <c r="L57" s="43">
        <f t="shared" si="4"/>
        <v>0</v>
      </c>
      <c r="M57" s="43">
        <f t="shared" si="4"/>
        <v>10</v>
      </c>
      <c r="N57" s="57"/>
    </row>
    <row r="58" spans="1:14" s="151" customFormat="1">
      <c r="A58" s="40" t="s">
        <v>327</v>
      </c>
      <c r="B58" s="51"/>
      <c r="C58" s="149"/>
      <c r="D58" s="267"/>
      <c r="E58" s="241"/>
      <c r="F58" s="240">
        <f>SUM(G58:L58)</f>
        <v>0</v>
      </c>
      <c r="G58" s="240"/>
      <c r="H58" s="240">
        <v>0</v>
      </c>
      <c r="I58" s="240"/>
      <c r="J58" s="240"/>
      <c r="K58" s="240"/>
      <c r="L58" s="240"/>
      <c r="M58" s="240"/>
      <c r="N58" s="355"/>
    </row>
    <row r="59" spans="1:14">
      <c r="A59" s="40" t="s">
        <v>328</v>
      </c>
      <c r="B59" s="46"/>
      <c r="C59" s="47"/>
      <c r="D59" s="177">
        <f>D57+D41+D35</f>
        <v>27.5</v>
      </c>
      <c r="E59" s="42">
        <f>E57+E41+E35-E58</f>
        <v>3226</v>
      </c>
      <c r="F59" s="175">
        <f t="shared" ref="F59:M59" si="5">F57+F41+F35-F58</f>
        <v>3209</v>
      </c>
      <c r="G59" s="175">
        <f t="shared" si="5"/>
        <v>128</v>
      </c>
      <c r="H59" s="175">
        <f t="shared" si="5"/>
        <v>2160</v>
      </c>
      <c r="I59" s="175">
        <f t="shared" si="5"/>
        <v>0</v>
      </c>
      <c r="J59" s="175">
        <f t="shared" si="5"/>
        <v>420</v>
      </c>
      <c r="K59" s="175">
        <f t="shared" si="5"/>
        <v>0</v>
      </c>
      <c r="L59" s="175">
        <f t="shared" si="5"/>
        <v>0</v>
      </c>
      <c r="M59" s="175">
        <f t="shared" si="5"/>
        <v>501</v>
      </c>
      <c r="N59" s="176"/>
    </row>
    <row r="60" spans="1:14" s="285" customFormat="1">
      <c r="A60" s="56"/>
      <c r="B60" s="381"/>
      <c r="C60" s="687"/>
      <c r="D60" s="301" t="s">
        <v>759</v>
      </c>
      <c r="E60" s="164">
        <v>2387</v>
      </c>
      <c r="F60" s="164">
        <f>G63+H63+I63+J63</f>
        <v>2374.66</v>
      </c>
      <c r="G60" s="381"/>
      <c r="H60" s="381"/>
      <c r="I60" s="381"/>
      <c r="J60" s="381"/>
      <c r="K60" s="381"/>
      <c r="L60" s="381"/>
      <c r="M60" s="381"/>
      <c r="N60" s="381"/>
    </row>
    <row r="61" spans="1:14" s="285" customFormat="1" ht="29.7">
      <c r="A61" s="780" t="s">
        <v>569</v>
      </c>
      <c r="B61" s="781"/>
      <c r="C61" s="781"/>
      <c r="D61" s="781"/>
      <c r="E61" s="782"/>
      <c r="F61" s="298" t="s">
        <v>570</v>
      </c>
      <c r="G61" s="310" t="s">
        <v>0</v>
      </c>
      <c r="H61" s="310" t="s">
        <v>1</v>
      </c>
      <c r="I61" s="310" t="s">
        <v>2</v>
      </c>
      <c r="J61" s="310" t="s">
        <v>3</v>
      </c>
      <c r="K61" s="310" t="s">
        <v>4</v>
      </c>
      <c r="L61" s="310" t="s">
        <v>34</v>
      </c>
      <c r="M61" s="297" t="s">
        <v>283</v>
      </c>
      <c r="N61" s="355" t="s">
        <v>284</v>
      </c>
    </row>
    <row r="62" spans="1:14" s="285" customFormat="1">
      <c r="A62" s="783" t="s">
        <v>760</v>
      </c>
      <c r="B62" s="784"/>
      <c r="C62" s="784"/>
      <c r="D62" s="785"/>
      <c r="E62" s="91"/>
      <c r="F62" s="88"/>
      <c r="G62" s="432">
        <v>0.1</v>
      </c>
      <c r="H62" s="432">
        <v>0.55000000000000004</v>
      </c>
      <c r="I62" s="432">
        <v>0.05</v>
      </c>
      <c r="J62" s="432">
        <v>0.04</v>
      </c>
      <c r="K62" s="432">
        <v>0</v>
      </c>
      <c r="L62" s="432"/>
      <c r="M62" s="432">
        <v>0.26</v>
      </c>
      <c r="N62" s="89"/>
    </row>
    <row r="63" spans="1:14" s="285" customFormat="1" ht="15.6" thickBot="1">
      <c r="A63" s="774" t="s">
        <v>691</v>
      </c>
      <c r="B63" s="775"/>
      <c r="C63" s="775"/>
      <c r="D63" s="776"/>
      <c r="E63" s="83"/>
      <c r="F63" s="84">
        <f>F59</f>
        <v>3209</v>
      </c>
      <c r="G63" s="85">
        <f>$F63*G62</f>
        <v>320.90000000000003</v>
      </c>
      <c r="H63" s="85">
        <f t="shared" ref="H63:M63" si="6">$F63*H62</f>
        <v>1764.95</v>
      </c>
      <c r="I63" s="85">
        <f t="shared" si="6"/>
        <v>160.45000000000002</v>
      </c>
      <c r="J63" s="85">
        <f t="shared" si="6"/>
        <v>128.36000000000001</v>
      </c>
      <c r="K63" s="85">
        <f t="shared" si="6"/>
        <v>0</v>
      </c>
      <c r="L63" s="85">
        <f t="shared" si="6"/>
        <v>0</v>
      </c>
      <c r="M63" s="86">
        <f t="shared" si="6"/>
        <v>834.34</v>
      </c>
      <c r="N63" s="87"/>
    </row>
    <row r="64" spans="1:14" s="285" customFormat="1">
      <c r="A64" s="777" t="s">
        <v>573</v>
      </c>
      <c r="B64" s="778"/>
      <c r="C64" s="778"/>
      <c r="D64" s="779"/>
      <c r="E64" s="78"/>
      <c r="F64" s="79"/>
      <c r="G64" s="80">
        <f t="shared" ref="G64:M64" si="7">G59-G63</f>
        <v>-192.90000000000003</v>
      </c>
      <c r="H64" s="80">
        <f t="shared" si="7"/>
        <v>395.04999999999995</v>
      </c>
      <c r="I64" s="80">
        <f t="shared" si="7"/>
        <v>-160.45000000000002</v>
      </c>
      <c r="J64" s="80">
        <f t="shared" si="7"/>
        <v>291.64</v>
      </c>
      <c r="K64" s="80">
        <f t="shared" si="7"/>
        <v>0</v>
      </c>
      <c r="L64" s="80">
        <f t="shared" si="7"/>
        <v>0</v>
      </c>
      <c r="M64" s="81">
        <f t="shared" si="7"/>
        <v>-333.34000000000003</v>
      </c>
      <c r="N64" s="82"/>
    </row>
    <row r="65" spans="1:14">
      <c r="A65" s="31"/>
      <c r="B65" s="31"/>
      <c r="C65" s="32"/>
      <c r="D65" s="31"/>
      <c r="E65" s="31"/>
      <c r="F65" s="31"/>
      <c r="G65" s="31"/>
      <c r="H65" s="31"/>
      <c r="I65" s="31"/>
      <c r="J65" s="31"/>
      <c r="K65" s="31"/>
      <c r="L65" s="31"/>
      <c r="M65" s="31"/>
      <c r="N65" s="31"/>
    </row>
    <row r="67" spans="1:14" s="381" customFormat="1" ht="15.6" thickBot="1">
      <c r="A67" s="31"/>
      <c r="B67" s="31"/>
      <c r="C67" s="32"/>
      <c r="D67" s="31"/>
      <c r="E67" s="31"/>
      <c r="F67" s="31"/>
      <c r="G67" s="31"/>
      <c r="H67" s="31"/>
      <c r="I67" s="31"/>
      <c r="J67" s="31"/>
      <c r="K67" s="31"/>
      <c r="L67" s="31"/>
      <c r="M67" s="31"/>
      <c r="N67" s="562"/>
    </row>
    <row r="68" spans="1:14" s="381" customFormat="1" ht="15.6">
      <c r="A68" s="764" t="s">
        <v>330</v>
      </c>
      <c r="B68" s="765"/>
      <c r="C68" s="765"/>
      <c r="D68" s="765"/>
      <c r="E68" s="765"/>
      <c r="F68" s="765"/>
      <c r="G68" s="581"/>
      <c r="H68" s="31"/>
      <c r="I68" s="31"/>
      <c r="J68" s="31"/>
      <c r="K68" s="31"/>
      <c r="L68" s="31"/>
      <c r="M68" s="31"/>
      <c r="N68" s="562"/>
    </row>
    <row r="69" spans="1:14" s="381" customFormat="1" ht="15.6">
      <c r="A69" s="738"/>
      <c r="B69" s="739"/>
      <c r="C69" s="739"/>
      <c r="D69" s="739"/>
      <c r="E69" s="739"/>
      <c r="F69" s="739"/>
      <c r="G69" s="582"/>
      <c r="H69" s="31"/>
      <c r="I69" s="31"/>
      <c r="J69" s="31"/>
      <c r="K69" s="31"/>
      <c r="L69" s="31"/>
      <c r="M69" s="31"/>
      <c r="N69" s="562"/>
    </row>
    <row r="70" spans="1:14" s="381" customFormat="1">
      <c r="A70" s="740" t="s">
        <v>331</v>
      </c>
      <c r="B70" s="741"/>
      <c r="C70" s="583"/>
      <c r="D70" s="583"/>
      <c r="E70" s="583"/>
      <c r="F70" s="583"/>
      <c r="G70" s="582"/>
      <c r="H70" s="31"/>
      <c r="I70" s="31"/>
      <c r="J70" s="31"/>
      <c r="K70" s="31"/>
      <c r="L70" s="31"/>
      <c r="M70" s="31"/>
      <c r="N70" s="562"/>
    </row>
    <row r="71" spans="1:14" s="381" customFormat="1">
      <c r="A71" s="584" t="s">
        <v>480</v>
      </c>
      <c r="B71" s="585">
        <f>E59</f>
        <v>3226</v>
      </c>
      <c r="C71" s="586"/>
      <c r="D71" s="587"/>
      <c r="E71" s="587"/>
      <c r="F71" s="587"/>
      <c r="G71" s="582"/>
      <c r="H71" s="31"/>
      <c r="I71" s="31"/>
      <c r="J71" s="31"/>
      <c r="K71" s="31"/>
      <c r="L71" s="31"/>
      <c r="M71" s="31"/>
      <c r="N71" s="562"/>
    </row>
    <row r="72" spans="1:14" s="381" customFormat="1">
      <c r="A72" s="588" t="s">
        <v>481</v>
      </c>
      <c r="B72" s="589">
        <f>F59</f>
        <v>3209</v>
      </c>
      <c r="C72" s="586"/>
      <c r="D72" s="587"/>
      <c r="E72" s="587"/>
      <c r="F72" s="587"/>
      <c r="G72" s="582"/>
      <c r="H72" s="31"/>
      <c r="I72" s="31"/>
      <c r="J72" s="31"/>
      <c r="K72" s="31"/>
      <c r="L72" s="31"/>
      <c r="M72" s="31"/>
      <c r="N72" s="562"/>
    </row>
    <row r="73" spans="1:14" s="381" customFormat="1">
      <c r="A73" s="590" t="s">
        <v>334</v>
      </c>
      <c r="B73" s="591">
        <f>B72-B71</f>
        <v>-17</v>
      </c>
      <c r="C73" s="586"/>
      <c r="D73" s="587"/>
      <c r="E73" s="587"/>
      <c r="F73" s="587"/>
      <c r="G73" s="582"/>
      <c r="H73" s="31"/>
      <c r="I73" s="31"/>
      <c r="J73" s="31"/>
      <c r="K73" s="31"/>
      <c r="L73" s="31"/>
      <c r="M73" s="31"/>
      <c r="N73" s="562"/>
    </row>
    <row r="74" spans="1:14" s="381" customFormat="1">
      <c r="A74" s="590" t="s">
        <v>335</v>
      </c>
      <c r="B74" s="592">
        <f>B73/B71</f>
        <v>-5.2696838189708614E-3</v>
      </c>
      <c r="C74" s="586"/>
      <c r="D74" s="587"/>
      <c r="E74" s="587"/>
      <c r="F74" s="587"/>
      <c r="G74" s="582"/>
      <c r="H74" s="31"/>
      <c r="I74" s="31"/>
      <c r="J74" s="31"/>
      <c r="K74" s="31"/>
      <c r="L74" s="31"/>
      <c r="M74" s="31"/>
      <c r="N74" s="562"/>
    </row>
    <row r="75" spans="1:14" s="381" customFormat="1">
      <c r="A75" s="593"/>
      <c r="B75" s="587"/>
      <c r="C75" s="686"/>
      <c r="D75" s="587"/>
      <c r="E75" s="587"/>
      <c r="F75" s="587"/>
      <c r="G75" s="582"/>
      <c r="H75" s="31"/>
      <c r="I75" s="31"/>
      <c r="J75" s="31"/>
      <c r="K75" s="31"/>
      <c r="L75" s="31"/>
      <c r="M75" s="31"/>
      <c r="N75" s="562"/>
    </row>
    <row r="76" spans="1:14" s="381" customFormat="1">
      <c r="A76" s="820" t="s">
        <v>761</v>
      </c>
      <c r="B76" s="732"/>
      <c r="C76" s="732"/>
      <c r="D76" s="732"/>
      <c r="E76" s="732"/>
      <c r="F76" s="732"/>
      <c r="G76" s="582"/>
      <c r="H76" s="31"/>
      <c r="I76" s="31"/>
      <c r="J76" s="31"/>
      <c r="K76" s="31"/>
      <c r="L76" s="31"/>
      <c r="M76" s="31"/>
      <c r="N76" s="562"/>
    </row>
    <row r="77" spans="1:14" s="381" customFormat="1" ht="145.5" customHeight="1">
      <c r="A77" s="742" t="s">
        <v>762</v>
      </c>
      <c r="B77" s="743"/>
      <c r="C77" s="743"/>
      <c r="D77" s="743"/>
      <c r="E77" s="743"/>
      <c r="F77" s="744"/>
      <c r="G77" s="582"/>
      <c r="H77" s="31"/>
      <c r="I77" s="31"/>
      <c r="J77" s="31"/>
      <c r="K77" s="31"/>
      <c r="L77" s="31"/>
      <c r="M77" s="31"/>
      <c r="N77" s="562"/>
    </row>
    <row r="78" spans="1:14" s="381" customFormat="1">
      <c r="A78" s="594"/>
      <c r="B78" s="595"/>
      <c r="C78" s="595"/>
      <c r="D78" s="595"/>
      <c r="E78" s="595"/>
      <c r="F78" s="595"/>
      <c r="G78" s="582"/>
      <c r="H78" s="31"/>
      <c r="I78" s="31"/>
      <c r="J78" s="31"/>
      <c r="K78" s="31"/>
      <c r="L78" s="31"/>
      <c r="M78" s="31"/>
      <c r="N78" s="562"/>
    </row>
    <row r="79" spans="1:14" s="381" customFormat="1">
      <c r="A79" s="596" t="s">
        <v>337</v>
      </c>
      <c r="B79" s="587"/>
      <c r="C79" s="686"/>
      <c r="D79" s="587"/>
      <c r="E79" s="587"/>
      <c r="F79" s="587"/>
      <c r="G79" s="582"/>
      <c r="H79" s="31"/>
      <c r="I79" s="31"/>
      <c r="J79" s="31"/>
      <c r="K79" s="31"/>
      <c r="L79" s="31"/>
      <c r="M79" s="31"/>
      <c r="N79" s="562"/>
    </row>
    <row r="80" spans="1:14" s="381" customFormat="1" ht="146.25" customHeight="1">
      <c r="A80" s="742" t="s">
        <v>763</v>
      </c>
      <c r="B80" s="736"/>
      <c r="C80" s="736"/>
      <c r="D80" s="736"/>
      <c r="E80" s="736"/>
      <c r="F80" s="737"/>
      <c r="G80" s="582"/>
      <c r="H80" s="31"/>
      <c r="I80" s="31"/>
      <c r="J80" s="31"/>
      <c r="K80" s="31"/>
      <c r="L80" s="31"/>
      <c r="M80" s="31"/>
      <c r="N80" s="562"/>
    </row>
    <row r="81" spans="1:14" s="381" customFormat="1">
      <c r="A81" s="593"/>
      <c r="B81" s="587"/>
      <c r="C81" s="686"/>
      <c r="D81" s="587"/>
      <c r="E81" s="587"/>
      <c r="F81" s="587"/>
      <c r="G81" s="582"/>
      <c r="H81" s="31"/>
      <c r="I81" s="31"/>
      <c r="J81" s="31"/>
      <c r="K81" s="31"/>
      <c r="L81" s="31"/>
      <c r="M81" s="31"/>
      <c r="N81" s="562"/>
    </row>
    <row r="82" spans="1:14" s="381" customFormat="1">
      <c r="A82" s="731" t="s">
        <v>365</v>
      </c>
      <c r="B82" s="732"/>
      <c r="C82" s="732"/>
      <c r="D82" s="732"/>
      <c r="E82" s="732"/>
      <c r="F82" s="732"/>
      <c r="G82" s="582"/>
      <c r="H82" s="31"/>
      <c r="I82" s="31"/>
      <c r="J82" s="31"/>
      <c r="K82" s="31"/>
      <c r="L82" s="31"/>
      <c r="M82" s="31"/>
      <c r="N82" s="562"/>
    </row>
    <row r="83" spans="1:14" s="381" customFormat="1">
      <c r="A83" s="819" t="s">
        <v>461</v>
      </c>
      <c r="B83" s="734"/>
      <c r="C83" s="734"/>
      <c r="D83" s="734"/>
      <c r="E83" s="734"/>
      <c r="F83" s="734"/>
      <c r="G83" s="582"/>
      <c r="H83" s="31"/>
      <c r="I83" s="31"/>
      <c r="J83" s="31"/>
      <c r="K83" s="31"/>
      <c r="L83" s="31"/>
      <c r="M83" s="31"/>
      <c r="N83" s="562"/>
    </row>
    <row r="84" spans="1:14" s="381" customFormat="1" ht="136.80000000000001" customHeight="1">
      <c r="A84" s="742" t="s">
        <v>764</v>
      </c>
      <c r="B84" s="736"/>
      <c r="C84" s="736"/>
      <c r="D84" s="736"/>
      <c r="E84" s="736"/>
      <c r="F84" s="737"/>
      <c r="G84" s="582"/>
      <c r="H84" s="31"/>
      <c r="I84" s="31"/>
      <c r="J84" s="31"/>
      <c r="K84" s="31"/>
      <c r="L84" s="31"/>
      <c r="M84" s="31"/>
      <c r="N84" s="562"/>
    </row>
    <row r="85" spans="1:14" s="381" customFormat="1">
      <c r="A85" s="596"/>
      <c r="B85" s="587"/>
      <c r="C85" s="686"/>
      <c r="D85" s="587"/>
      <c r="E85" s="587"/>
      <c r="F85" s="587"/>
      <c r="G85" s="582"/>
      <c r="H85" s="31"/>
      <c r="I85" s="31"/>
      <c r="J85" s="31"/>
      <c r="K85" s="31"/>
      <c r="L85" s="31"/>
      <c r="M85" s="31"/>
      <c r="N85" s="562"/>
    </row>
    <row r="86" spans="1:14" s="381" customFormat="1">
      <c r="A86" s="731" t="s">
        <v>340</v>
      </c>
      <c r="B86" s="732"/>
      <c r="C86" s="732"/>
      <c r="D86" s="732"/>
      <c r="E86" s="732"/>
      <c r="F86" s="587"/>
      <c r="G86" s="582"/>
      <c r="H86" s="31"/>
      <c r="I86" s="31"/>
      <c r="J86" s="31"/>
      <c r="K86" s="31"/>
      <c r="L86" s="31"/>
      <c r="M86" s="31"/>
      <c r="N86" s="562"/>
    </row>
    <row r="87" spans="1:14" s="381" customFormat="1" ht="15.8" customHeight="1">
      <c r="A87" s="735" t="s">
        <v>765</v>
      </c>
      <c r="B87" s="729"/>
      <c r="C87" s="729"/>
      <c r="D87" s="729"/>
      <c r="E87" s="729"/>
      <c r="F87" s="730"/>
      <c r="G87" s="582"/>
      <c r="H87" s="31"/>
      <c r="I87" s="31"/>
      <c r="J87" s="31"/>
      <c r="K87" s="31"/>
      <c r="L87" s="31"/>
      <c r="M87" s="31"/>
      <c r="N87" s="562"/>
    </row>
    <row r="88" spans="1:14" s="381" customFormat="1">
      <c r="A88" s="593"/>
      <c r="B88" s="587"/>
      <c r="C88" s="686"/>
      <c r="D88" s="587"/>
      <c r="E88" s="587"/>
      <c r="F88" s="587"/>
      <c r="G88" s="582"/>
      <c r="H88" s="31"/>
      <c r="I88" s="31"/>
      <c r="J88" s="31"/>
      <c r="K88" s="31"/>
      <c r="L88" s="31"/>
      <c r="M88" s="31"/>
      <c r="N88" s="562"/>
    </row>
    <row r="89" spans="1:14" s="381" customFormat="1">
      <c r="A89" s="596" t="s">
        <v>341</v>
      </c>
      <c r="B89" s="587"/>
      <c r="C89" s="686"/>
      <c r="D89" s="587"/>
      <c r="E89" s="587"/>
      <c r="F89" s="587"/>
      <c r="G89" s="582"/>
      <c r="H89" s="31"/>
      <c r="I89" s="31"/>
      <c r="J89" s="31"/>
      <c r="K89" s="31"/>
      <c r="L89" s="31"/>
      <c r="M89" s="31"/>
      <c r="N89" s="562"/>
    </row>
    <row r="90" spans="1:14" s="381" customFormat="1">
      <c r="A90" s="597" t="s">
        <v>342</v>
      </c>
      <c r="B90" s="587"/>
      <c r="C90" s="686"/>
      <c r="D90" s="587"/>
      <c r="E90" s="587"/>
      <c r="F90" s="587"/>
      <c r="G90" s="582"/>
      <c r="H90" s="31"/>
      <c r="I90" s="31"/>
      <c r="J90" s="31"/>
      <c r="K90" s="31"/>
      <c r="L90" s="31"/>
      <c r="M90" s="31"/>
      <c r="N90" s="562"/>
    </row>
    <row r="91" spans="1:14" s="381" customFormat="1" ht="28.8" customHeight="1">
      <c r="A91" s="815" t="s">
        <v>368</v>
      </c>
      <c r="B91" s="816"/>
      <c r="C91" s="816"/>
      <c r="D91" s="816"/>
      <c r="E91" s="816"/>
      <c r="F91" s="816"/>
      <c r="G91" s="582"/>
      <c r="H91" s="31"/>
      <c r="I91" s="31"/>
      <c r="J91" s="31"/>
      <c r="K91" s="31"/>
      <c r="L91" s="31"/>
      <c r="M91" s="31"/>
      <c r="N91" s="562"/>
    </row>
    <row r="92" spans="1:14" s="381" customFormat="1" ht="49.75" customHeight="1">
      <c r="A92" s="742" t="s">
        <v>766</v>
      </c>
      <c r="B92" s="743"/>
      <c r="C92" s="743"/>
      <c r="D92" s="743"/>
      <c r="E92" s="743"/>
      <c r="F92" s="744"/>
      <c r="G92" s="582"/>
      <c r="H92" s="31"/>
      <c r="I92" s="31"/>
      <c r="J92" s="31"/>
      <c r="K92" s="31"/>
      <c r="L92" s="31"/>
      <c r="M92" s="31"/>
      <c r="N92" s="562"/>
    </row>
    <row r="93" spans="1:14" s="381" customFormat="1">
      <c r="A93" s="724"/>
      <c r="B93" s="725"/>
      <c r="C93" s="725"/>
      <c r="D93" s="725"/>
      <c r="E93" s="725"/>
      <c r="F93" s="725"/>
      <c r="G93" s="582"/>
      <c r="H93" s="31"/>
      <c r="I93" s="31"/>
      <c r="J93" s="31"/>
      <c r="K93" s="31"/>
      <c r="L93" s="31"/>
      <c r="M93" s="31"/>
      <c r="N93" s="562"/>
    </row>
    <row r="94" spans="1:14" s="381" customFormat="1">
      <c r="A94" s="597" t="s">
        <v>344</v>
      </c>
      <c r="B94" s="587"/>
      <c r="C94" s="686"/>
      <c r="D94" s="587"/>
      <c r="E94" s="587"/>
      <c r="F94" s="587"/>
      <c r="G94" s="582"/>
      <c r="H94" s="31"/>
      <c r="I94" s="31"/>
      <c r="J94" s="31"/>
      <c r="K94" s="31"/>
      <c r="L94" s="31"/>
      <c r="M94" s="31"/>
      <c r="N94" s="562"/>
    </row>
    <row r="95" spans="1:14" s="381" customFormat="1" ht="23.2" customHeight="1">
      <c r="A95" s="817" t="s">
        <v>345</v>
      </c>
      <c r="B95" s="818"/>
      <c r="C95" s="818"/>
      <c r="D95" s="818"/>
      <c r="E95" s="818"/>
      <c r="F95" s="818"/>
      <c r="G95" s="582"/>
      <c r="H95" s="31"/>
      <c r="I95" s="31"/>
      <c r="J95" s="31"/>
      <c r="K95" s="31"/>
      <c r="L95" s="31"/>
      <c r="M95" s="31"/>
      <c r="N95" s="562"/>
    </row>
    <row r="96" spans="1:14" s="381" customFormat="1">
      <c r="A96" s="728"/>
      <c r="B96" s="729"/>
      <c r="C96" s="729"/>
      <c r="D96" s="729"/>
      <c r="E96" s="729"/>
      <c r="F96" s="730"/>
      <c r="G96" s="582"/>
      <c r="H96" s="31"/>
      <c r="I96" s="31"/>
      <c r="J96" s="31"/>
      <c r="K96" s="31"/>
      <c r="L96" s="31"/>
      <c r="M96" s="31"/>
      <c r="N96" s="562"/>
    </row>
    <row r="97" spans="1:14" s="381" customFormat="1" ht="15.6" thickBot="1">
      <c r="A97" s="598"/>
      <c r="B97" s="599"/>
      <c r="C97" s="600"/>
      <c r="D97" s="599"/>
      <c r="E97" s="599"/>
      <c r="F97" s="599"/>
      <c r="G97" s="601"/>
      <c r="H97" s="31"/>
      <c r="I97" s="31"/>
      <c r="J97" s="31"/>
      <c r="K97" s="31"/>
      <c r="L97" s="31"/>
      <c r="M97" s="31"/>
      <c r="N97" s="562"/>
    </row>
    <row r="98" spans="1:14" s="381" customFormat="1">
      <c r="A98" s="31"/>
      <c r="B98" s="31"/>
      <c r="C98" s="32"/>
      <c r="D98" s="31"/>
      <c r="E98" s="31"/>
      <c r="F98" s="31"/>
      <c r="G98" s="31"/>
      <c r="H98" s="31"/>
      <c r="I98" s="31"/>
      <c r="J98" s="31"/>
      <c r="K98" s="31"/>
      <c r="L98" s="31"/>
      <c r="M98" s="31"/>
      <c r="N98" s="562"/>
    </row>
  </sheetData>
  <mergeCells count="21">
    <mergeCell ref="A1:N1"/>
    <mergeCell ref="A61:E61"/>
    <mergeCell ref="A62:D62"/>
    <mergeCell ref="A63:D63"/>
    <mergeCell ref="A64:D64"/>
    <mergeCell ref="A68:F68"/>
    <mergeCell ref="A69:F69"/>
    <mergeCell ref="A70:B70"/>
    <mergeCell ref="A76:F76"/>
    <mergeCell ref="A77:F77"/>
    <mergeCell ref="A80:F80"/>
    <mergeCell ref="A82:F82"/>
    <mergeCell ref="A83:F83"/>
    <mergeCell ref="A84:F84"/>
    <mergeCell ref="A86:E86"/>
    <mergeCell ref="A96:F96"/>
    <mergeCell ref="A87:F87"/>
    <mergeCell ref="A91:F91"/>
    <mergeCell ref="A92:F92"/>
    <mergeCell ref="A93:F93"/>
    <mergeCell ref="A95:F95"/>
  </mergeCells>
  <printOptions horizontalCentered="1"/>
  <pageMargins left="0.2" right="0.2" top="0.75" bottom="0.75" header="0.3" footer="0.3"/>
  <pageSetup scale="71" fitToHeight="2" orientation="landscape" r:id="rId1"/>
  <headerFooter>
    <oddHeader xml:space="preserve">&amp;CDRAFT NOT FOR DISTRIBUTION, INTERNAL USE ONLY
</oddHeader>
  </headerFooter>
  <rowBreaks count="1" manualBreakCount="1">
    <brk id="41" max="16383"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39997558519241921"/>
    <pageSetUpPr fitToPage="1"/>
  </sheetPr>
  <dimension ref="A1:N8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5703125" bestFit="1" customWidth="1"/>
    <col min="14" max="14" width="37.140625" customWidth="1"/>
    <col min="15" max="15" width="13.28515625" customWidth="1"/>
  </cols>
  <sheetData>
    <row r="1" spans="1:14" ht="15.6">
      <c r="A1" s="745" t="s">
        <v>536</v>
      </c>
      <c r="B1" s="745"/>
      <c r="C1" s="745"/>
      <c r="D1" s="745"/>
      <c r="E1" s="745"/>
      <c r="F1" s="745"/>
      <c r="G1" s="745"/>
      <c r="H1" s="745"/>
      <c r="I1" s="745"/>
      <c r="J1" s="745"/>
      <c r="K1" s="745"/>
      <c r="L1" s="745"/>
      <c r="M1" s="745"/>
      <c r="N1" s="745"/>
    </row>
    <row r="2" spans="1:14">
      <c r="A2" s="65" t="s">
        <v>767</v>
      </c>
      <c r="B2" s="381"/>
      <c r="C2" s="687"/>
      <c r="D2" s="381"/>
      <c r="E2" s="381"/>
      <c r="F2" s="381"/>
      <c r="G2" s="381"/>
      <c r="H2" s="381"/>
      <c r="I2" s="381"/>
      <c r="J2" s="381"/>
      <c r="K2" s="381"/>
      <c r="L2" s="381"/>
      <c r="M2" s="381"/>
      <c r="N2" s="381"/>
    </row>
    <row r="3" spans="1:14">
      <c r="A3" s="68" t="s">
        <v>706</v>
      </c>
      <c r="B3" s="381"/>
      <c r="C3" s="687"/>
      <c r="D3" s="381"/>
      <c r="E3" s="29"/>
      <c r="F3" s="29"/>
      <c r="G3" s="554" t="s">
        <v>275</v>
      </c>
      <c r="H3" s="381"/>
      <c r="I3" s="381"/>
      <c r="J3" s="381"/>
      <c r="K3" s="381"/>
      <c r="L3" s="381"/>
      <c r="M3" s="381"/>
      <c r="N3" s="381"/>
    </row>
    <row r="4" spans="1:14">
      <c r="A4" s="68" t="s">
        <v>707</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15.05" customHeight="1">
      <c r="A7" s="36" t="s">
        <v>286</v>
      </c>
      <c r="B7" s="264"/>
      <c r="C7" s="37" t="s">
        <v>287</v>
      </c>
      <c r="D7" s="39"/>
      <c r="E7" s="263"/>
      <c r="F7" s="309">
        <f>SUM(G7:M7)</f>
        <v>0</v>
      </c>
      <c r="G7" s="310"/>
      <c r="H7" s="310"/>
      <c r="I7" s="310"/>
      <c r="J7" s="310"/>
      <c r="K7" s="310"/>
      <c r="L7" s="310"/>
      <c r="M7" s="311"/>
      <c r="N7" s="355"/>
    </row>
    <row r="8" spans="1:14">
      <c r="A8" s="36" t="s">
        <v>286</v>
      </c>
      <c r="B8" s="264"/>
      <c r="C8" s="37" t="s">
        <v>287</v>
      </c>
      <c r="D8" s="39"/>
      <c r="E8" s="263">
        <v>0</v>
      </c>
      <c r="F8" s="309">
        <f>SUM(G8:M8)</f>
        <v>0</v>
      </c>
      <c r="G8" s="310">
        <v>0</v>
      </c>
      <c r="H8" s="310">
        <v>0</v>
      </c>
      <c r="I8" s="310">
        <v>0</v>
      </c>
      <c r="J8" s="310">
        <v>0</v>
      </c>
      <c r="K8" s="310">
        <v>0</v>
      </c>
      <c r="L8" s="310">
        <v>0</v>
      </c>
      <c r="M8" s="311">
        <v>0</v>
      </c>
      <c r="N8" s="355"/>
    </row>
    <row r="9" spans="1:14">
      <c r="A9" s="36" t="s">
        <v>286</v>
      </c>
      <c r="B9" s="264"/>
      <c r="C9" s="37" t="s">
        <v>287</v>
      </c>
      <c r="D9" s="39"/>
      <c r="E9" s="263">
        <v>0</v>
      </c>
      <c r="F9" s="309">
        <f>SUM(G9:M9)</f>
        <v>0</v>
      </c>
      <c r="G9" s="310">
        <v>0</v>
      </c>
      <c r="H9" s="310">
        <v>0</v>
      </c>
      <c r="I9" s="310">
        <v>0</v>
      </c>
      <c r="J9" s="310">
        <v>0</v>
      </c>
      <c r="K9" s="310">
        <v>0</v>
      </c>
      <c r="L9" s="310">
        <v>0</v>
      </c>
      <c r="M9" s="311">
        <v>0</v>
      </c>
      <c r="N9" s="355"/>
    </row>
    <row r="10" spans="1:14">
      <c r="A10" s="36" t="s">
        <v>286</v>
      </c>
      <c r="B10" s="265"/>
      <c r="C10" s="37" t="s">
        <v>287</v>
      </c>
      <c r="D10" s="39"/>
      <c r="E10" s="263">
        <v>0</v>
      </c>
      <c r="F10" s="309">
        <f>SUM(G10:M10)</f>
        <v>0</v>
      </c>
      <c r="G10" s="310">
        <v>0</v>
      </c>
      <c r="H10" s="310">
        <v>0</v>
      </c>
      <c r="I10" s="310">
        <v>0</v>
      </c>
      <c r="J10" s="310">
        <v>0</v>
      </c>
      <c r="K10" s="310">
        <v>0</v>
      </c>
      <c r="L10" s="310">
        <v>0</v>
      </c>
      <c r="M10" s="311">
        <v>0</v>
      </c>
      <c r="N10" s="355"/>
    </row>
    <row r="11" spans="1:14">
      <c r="A11" s="40" t="s">
        <v>288</v>
      </c>
      <c r="B11" s="265"/>
      <c r="C11" s="266"/>
      <c r="D11" s="41">
        <f t="shared" ref="D11:M11" si="0">SUM(D7:D10)</f>
        <v>0</v>
      </c>
      <c r="E11" s="42">
        <f t="shared" si="0"/>
        <v>0</v>
      </c>
      <c r="F11" s="43">
        <f t="shared" si="0"/>
        <v>0</v>
      </c>
      <c r="G11" s="43">
        <f t="shared" si="0"/>
        <v>0</v>
      </c>
      <c r="H11" s="43">
        <f t="shared" si="0"/>
        <v>0</v>
      </c>
      <c r="I11" s="43">
        <f t="shared" si="0"/>
        <v>0</v>
      </c>
      <c r="J11" s="43">
        <f t="shared" si="0"/>
        <v>0</v>
      </c>
      <c r="K11" s="43">
        <f t="shared" si="0"/>
        <v>0</v>
      </c>
      <c r="L11" s="43">
        <f t="shared" si="0"/>
        <v>0</v>
      </c>
      <c r="M11" s="43">
        <f t="shared" si="0"/>
        <v>0</v>
      </c>
      <c r="N11" s="355"/>
    </row>
    <row r="12" spans="1:14">
      <c r="A12" s="69" t="s">
        <v>289</v>
      </c>
      <c r="B12" s="70"/>
      <c r="C12" s="71"/>
      <c r="D12" s="70"/>
      <c r="E12" s="70"/>
      <c r="F12" s="72"/>
      <c r="G12" s="72"/>
      <c r="H12" s="72"/>
      <c r="I12" s="72"/>
      <c r="J12" s="72"/>
      <c r="K12" s="72"/>
      <c r="L12" s="72"/>
      <c r="M12" s="72"/>
      <c r="N12" s="72"/>
    </row>
    <row r="13" spans="1:14" s="381" customFormat="1" ht="222.7">
      <c r="A13" s="264" t="s">
        <v>768</v>
      </c>
      <c r="B13" s="73" t="s">
        <v>769</v>
      </c>
      <c r="C13" s="44">
        <v>253</v>
      </c>
      <c r="D13" s="45"/>
      <c r="E13" s="263">
        <v>154</v>
      </c>
      <c r="F13" s="357">
        <f>SUM(G13:M13)</f>
        <v>283</v>
      </c>
      <c r="G13" s="310">
        <v>0</v>
      </c>
      <c r="H13" s="310">
        <f>100-10-90</f>
        <v>0</v>
      </c>
      <c r="I13" s="310">
        <v>0</v>
      </c>
      <c r="J13" s="310">
        <v>0</v>
      </c>
      <c r="K13" s="310">
        <f>10+90+54+129</f>
        <v>283</v>
      </c>
      <c r="L13" s="310">
        <v>0</v>
      </c>
      <c r="M13" s="311">
        <v>0</v>
      </c>
      <c r="N13" s="419" t="s">
        <v>770</v>
      </c>
    </row>
    <row r="14" spans="1:14">
      <c r="A14" s="264" t="s">
        <v>771</v>
      </c>
      <c r="B14" s="264"/>
      <c r="C14" s="44">
        <v>253</v>
      </c>
      <c r="D14" s="45"/>
      <c r="E14" s="263">
        <v>0</v>
      </c>
      <c r="F14" s="357">
        <f>SUM(G14:M14)</f>
        <v>0</v>
      </c>
      <c r="G14" s="310"/>
      <c r="H14" s="310"/>
      <c r="I14" s="310"/>
      <c r="J14" s="310"/>
      <c r="K14" s="310">
        <v>0</v>
      </c>
      <c r="L14" s="310">
        <v>0</v>
      </c>
      <c r="M14" s="311">
        <v>0</v>
      </c>
      <c r="N14" s="327"/>
    </row>
    <row r="15" spans="1:14">
      <c r="A15" s="264" t="s">
        <v>772</v>
      </c>
      <c r="B15" s="264"/>
      <c r="C15" s="44">
        <v>253</v>
      </c>
      <c r="D15" s="45"/>
      <c r="E15" s="263">
        <v>0</v>
      </c>
      <c r="F15" s="357">
        <f>SUM(G15:M15)</f>
        <v>0</v>
      </c>
      <c r="G15" s="310"/>
      <c r="H15" s="310">
        <v>0</v>
      </c>
      <c r="I15" s="310"/>
      <c r="J15" s="310"/>
      <c r="K15" s="310">
        <v>0</v>
      </c>
      <c r="L15" s="310">
        <v>0</v>
      </c>
      <c r="M15" s="311">
        <v>0</v>
      </c>
      <c r="N15" s="326"/>
    </row>
    <row r="16" spans="1:14">
      <c r="A16" s="264" t="s">
        <v>773</v>
      </c>
      <c r="B16" s="264"/>
      <c r="C16" s="44">
        <v>253</v>
      </c>
      <c r="D16" s="267"/>
      <c r="E16" s="263">
        <v>0</v>
      </c>
      <c r="F16" s="357">
        <f>SUM(G16:M16)</f>
        <v>0</v>
      </c>
      <c r="G16" s="310"/>
      <c r="H16" s="310"/>
      <c r="I16" s="310"/>
      <c r="J16" s="310"/>
      <c r="K16" s="310"/>
      <c r="L16" s="310">
        <v>0</v>
      </c>
      <c r="M16" s="311">
        <v>0</v>
      </c>
      <c r="N16" s="355"/>
    </row>
    <row r="17" spans="1:14" s="7" customFormat="1" ht="29.7">
      <c r="A17" s="264" t="s">
        <v>379</v>
      </c>
      <c r="B17" s="73" t="s">
        <v>774</v>
      </c>
      <c r="C17" s="44">
        <v>253</v>
      </c>
      <c r="D17" s="267"/>
      <c r="E17" s="263">
        <v>65</v>
      </c>
      <c r="F17" s="357">
        <f>SUM(G17:M17)</f>
        <v>65</v>
      </c>
      <c r="G17" s="310"/>
      <c r="H17" s="310"/>
      <c r="I17" s="310"/>
      <c r="J17" s="310"/>
      <c r="K17" s="310">
        <v>0</v>
      </c>
      <c r="L17" s="310">
        <v>0</v>
      </c>
      <c r="M17" s="311">
        <v>65</v>
      </c>
      <c r="N17" s="327" t="s">
        <v>775</v>
      </c>
    </row>
    <row r="18" spans="1:14">
      <c r="A18" s="40" t="s">
        <v>294</v>
      </c>
      <c r="B18" s="265"/>
      <c r="C18" s="266"/>
      <c r="D18" s="267">
        <f>SUM(D14:D17)</f>
        <v>0</v>
      </c>
      <c r="E18" s="43">
        <f>SUM(E13:E17)</f>
        <v>219</v>
      </c>
      <c r="F18" s="43">
        <f>SUM(F13:F17)</f>
        <v>348</v>
      </c>
      <c r="G18" s="43">
        <f t="shared" ref="G18:M18" si="1">SUM(G13:G17)</f>
        <v>0</v>
      </c>
      <c r="H18" s="43">
        <f t="shared" si="1"/>
        <v>0</v>
      </c>
      <c r="I18" s="43">
        <f t="shared" si="1"/>
        <v>0</v>
      </c>
      <c r="J18" s="43">
        <f t="shared" si="1"/>
        <v>0</v>
      </c>
      <c r="K18" s="43">
        <f t="shared" si="1"/>
        <v>283</v>
      </c>
      <c r="L18" s="43">
        <f t="shared" si="1"/>
        <v>0</v>
      </c>
      <c r="M18" s="43">
        <f t="shared" si="1"/>
        <v>65</v>
      </c>
      <c r="N18" s="355"/>
    </row>
    <row r="19" spans="1:14" s="7" customFormat="1">
      <c r="A19" s="69" t="s">
        <v>295</v>
      </c>
      <c r="B19" s="70"/>
      <c r="C19" s="71"/>
      <c r="D19" s="70"/>
      <c r="E19" s="70"/>
      <c r="F19" s="72"/>
      <c r="G19" s="72"/>
      <c r="H19" s="72"/>
      <c r="I19" s="72"/>
      <c r="J19" s="72"/>
      <c r="K19" s="72"/>
      <c r="L19" s="72"/>
      <c r="M19" s="72"/>
      <c r="N19" s="72"/>
    </row>
    <row r="20" spans="1:14" ht="15.05" customHeight="1">
      <c r="A20" s="264" t="s">
        <v>296</v>
      </c>
      <c r="B20" s="36"/>
      <c r="C20" s="37" t="s">
        <v>297</v>
      </c>
      <c r="D20" s="38">
        <v>0</v>
      </c>
      <c r="E20" s="263"/>
      <c r="F20" s="309">
        <f t="shared" ref="F20:F33" si="2">SUM(G20:M20)</f>
        <v>0</v>
      </c>
      <c r="G20" s="310"/>
      <c r="H20" s="310"/>
      <c r="I20" s="310"/>
      <c r="J20" s="310"/>
      <c r="K20" s="310">
        <v>0</v>
      </c>
      <c r="L20" s="310">
        <v>0</v>
      </c>
      <c r="M20" s="311">
        <v>0</v>
      </c>
      <c r="N20" s="325"/>
    </row>
    <row r="21" spans="1:14">
      <c r="A21" s="264" t="s">
        <v>298</v>
      </c>
      <c r="B21" s="36"/>
      <c r="C21" s="44" t="s">
        <v>299</v>
      </c>
      <c r="D21" s="45"/>
      <c r="E21" s="263"/>
      <c r="F21" s="309">
        <f t="shared" si="2"/>
        <v>0</v>
      </c>
      <c r="G21" s="310"/>
      <c r="H21" s="310"/>
      <c r="I21" s="310"/>
      <c r="J21" s="310">
        <v>0</v>
      </c>
      <c r="K21" s="310">
        <v>0</v>
      </c>
      <c r="L21" s="310">
        <v>0</v>
      </c>
      <c r="M21" s="311">
        <v>0</v>
      </c>
      <c r="N21" s="355"/>
    </row>
    <row r="22" spans="1:14">
      <c r="A22" s="264" t="s">
        <v>300</v>
      </c>
      <c r="B22" s="36"/>
      <c r="C22" s="44" t="s">
        <v>301</v>
      </c>
      <c r="D22" s="45"/>
      <c r="E22" s="263"/>
      <c r="F22" s="309">
        <f t="shared" si="2"/>
        <v>0</v>
      </c>
      <c r="G22" s="310"/>
      <c r="H22" s="310"/>
      <c r="I22" s="310"/>
      <c r="J22" s="310">
        <v>0</v>
      </c>
      <c r="K22" s="310">
        <v>0</v>
      </c>
      <c r="L22" s="310">
        <v>0</v>
      </c>
      <c r="M22" s="311">
        <v>0</v>
      </c>
      <c r="N22" s="355"/>
    </row>
    <row r="23" spans="1:14">
      <c r="A23" s="264" t="s">
        <v>302</v>
      </c>
      <c r="B23" s="36"/>
      <c r="C23" s="44" t="s">
        <v>303</v>
      </c>
      <c r="D23" s="45"/>
      <c r="E23" s="263"/>
      <c r="F23" s="309">
        <f t="shared" si="2"/>
        <v>0</v>
      </c>
      <c r="G23" s="310"/>
      <c r="H23" s="310"/>
      <c r="I23" s="310"/>
      <c r="J23" s="310">
        <v>0</v>
      </c>
      <c r="K23" s="310">
        <v>0</v>
      </c>
      <c r="L23" s="310">
        <v>0</v>
      </c>
      <c r="M23" s="311">
        <v>0</v>
      </c>
      <c r="N23" s="355"/>
    </row>
    <row r="24" spans="1:14">
      <c r="A24" s="264" t="s">
        <v>304</v>
      </c>
      <c r="B24" s="382"/>
      <c r="C24" s="44">
        <v>251</v>
      </c>
      <c r="D24" s="45"/>
      <c r="E24" s="263">
        <v>0</v>
      </c>
      <c r="F24" s="309">
        <f t="shared" si="2"/>
        <v>0</v>
      </c>
      <c r="G24" s="310"/>
      <c r="H24" s="310">
        <v>0</v>
      </c>
      <c r="I24" s="310"/>
      <c r="J24" s="310">
        <v>0</v>
      </c>
      <c r="K24" s="310">
        <v>0</v>
      </c>
      <c r="L24" s="310">
        <v>0</v>
      </c>
      <c r="M24" s="311">
        <v>0</v>
      </c>
      <c r="N24" s="374"/>
    </row>
    <row r="25" spans="1:14" s="381" customFormat="1" ht="24.5">
      <c r="A25" s="264" t="s">
        <v>304</v>
      </c>
      <c r="B25" s="36" t="s">
        <v>776</v>
      </c>
      <c r="C25" s="44">
        <v>251</v>
      </c>
      <c r="D25" s="45"/>
      <c r="E25" s="263">
        <v>25</v>
      </c>
      <c r="F25" s="309">
        <f>SUM(G25:M25)</f>
        <v>25</v>
      </c>
      <c r="G25" s="310"/>
      <c r="H25" s="310">
        <v>25</v>
      </c>
      <c r="I25" s="310"/>
      <c r="J25" s="310">
        <v>0</v>
      </c>
      <c r="K25" s="310">
        <v>0</v>
      </c>
      <c r="L25" s="310">
        <v>0</v>
      </c>
      <c r="M25" s="311">
        <v>0</v>
      </c>
      <c r="N25" s="560" t="s">
        <v>777</v>
      </c>
    </row>
    <row r="26" spans="1:14" ht="48.25">
      <c r="A26" s="264" t="s">
        <v>429</v>
      </c>
      <c r="B26" s="36"/>
      <c r="C26" s="44">
        <v>252</v>
      </c>
      <c r="D26" s="45"/>
      <c r="E26" s="263">
        <v>921</v>
      </c>
      <c r="F26" s="309">
        <f t="shared" si="2"/>
        <v>921</v>
      </c>
      <c r="G26" s="310"/>
      <c r="H26" s="310">
        <v>642</v>
      </c>
      <c r="I26" s="310"/>
      <c r="J26" s="310">
        <v>0</v>
      </c>
      <c r="K26" s="310">
        <v>0</v>
      </c>
      <c r="L26" s="310">
        <v>0</v>
      </c>
      <c r="M26" s="311">
        <v>279</v>
      </c>
      <c r="N26" s="561" t="s">
        <v>778</v>
      </c>
    </row>
    <row r="27" spans="1:14">
      <c r="A27" s="264" t="s">
        <v>430</v>
      </c>
      <c r="B27" s="36"/>
      <c r="C27" s="44">
        <v>252</v>
      </c>
      <c r="D27" s="45"/>
      <c r="E27" s="263"/>
      <c r="F27" s="309">
        <f t="shared" si="2"/>
        <v>0</v>
      </c>
      <c r="G27" s="310"/>
      <c r="H27" s="310"/>
      <c r="I27" s="310"/>
      <c r="J27" s="310">
        <v>0</v>
      </c>
      <c r="K27" s="310">
        <v>0</v>
      </c>
      <c r="L27" s="310">
        <v>0</v>
      </c>
      <c r="M27" s="311">
        <v>0</v>
      </c>
      <c r="N27" s="355"/>
    </row>
    <row r="28" spans="1:14">
      <c r="A28" s="264" t="s">
        <v>315</v>
      </c>
      <c r="B28" s="36"/>
      <c r="C28" s="44">
        <v>253</v>
      </c>
      <c r="D28" s="264"/>
      <c r="E28" s="263"/>
      <c r="F28" s="309">
        <f t="shared" si="2"/>
        <v>0</v>
      </c>
      <c r="G28" s="310"/>
      <c r="H28" s="310"/>
      <c r="I28" s="310"/>
      <c r="J28" s="310">
        <v>0</v>
      </c>
      <c r="K28" s="310">
        <v>0</v>
      </c>
      <c r="L28" s="310">
        <v>0</v>
      </c>
      <c r="M28" s="311">
        <v>0</v>
      </c>
      <c r="N28" s="355"/>
    </row>
    <row r="29" spans="1:14">
      <c r="A29" s="264" t="s">
        <v>316</v>
      </c>
      <c r="B29" s="36"/>
      <c r="C29" s="44">
        <v>255</v>
      </c>
      <c r="D29" s="264"/>
      <c r="E29" s="263"/>
      <c r="F29" s="309">
        <f t="shared" si="2"/>
        <v>0</v>
      </c>
      <c r="G29" s="310"/>
      <c r="H29" s="310"/>
      <c r="I29" s="310"/>
      <c r="J29" s="310">
        <v>0</v>
      </c>
      <c r="K29" s="310">
        <v>0</v>
      </c>
      <c r="L29" s="310">
        <v>0</v>
      </c>
      <c r="M29" s="311">
        <v>0</v>
      </c>
      <c r="N29" s="355"/>
    </row>
    <row r="30" spans="1:14">
      <c r="A30" s="264" t="s">
        <v>317</v>
      </c>
      <c r="B30" s="36"/>
      <c r="C30" s="44">
        <v>256</v>
      </c>
      <c r="D30" s="264"/>
      <c r="E30" s="263"/>
      <c r="F30" s="309">
        <f t="shared" si="2"/>
        <v>0</v>
      </c>
      <c r="G30" s="310"/>
      <c r="H30" s="310"/>
      <c r="I30" s="310"/>
      <c r="J30" s="310">
        <v>0</v>
      </c>
      <c r="K30" s="310">
        <v>0</v>
      </c>
      <c r="L30" s="310">
        <v>0</v>
      </c>
      <c r="M30" s="311">
        <v>0</v>
      </c>
      <c r="N30" s="355"/>
    </row>
    <row r="31" spans="1:14">
      <c r="A31" s="264" t="s">
        <v>318</v>
      </c>
      <c r="B31" s="36"/>
      <c r="C31" s="44">
        <v>257</v>
      </c>
      <c r="D31" s="264"/>
      <c r="E31" s="263">
        <v>0</v>
      </c>
      <c r="F31" s="309">
        <f t="shared" si="2"/>
        <v>0</v>
      </c>
      <c r="G31" s="310"/>
      <c r="H31" s="310"/>
      <c r="I31" s="310"/>
      <c r="J31" s="310">
        <v>0</v>
      </c>
      <c r="K31" s="310">
        <v>0</v>
      </c>
      <c r="L31" s="310">
        <v>0</v>
      </c>
      <c r="M31" s="311">
        <v>0</v>
      </c>
      <c r="N31" s="355"/>
    </row>
    <row r="32" spans="1:14">
      <c r="A32" s="264" t="s">
        <v>319</v>
      </c>
      <c r="B32" s="36" t="s">
        <v>779</v>
      </c>
      <c r="C32" s="44" t="s">
        <v>320</v>
      </c>
      <c r="D32" s="264"/>
      <c r="E32" s="263">
        <v>5</v>
      </c>
      <c r="F32" s="309">
        <f t="shared" si="2"/>
        <v>5</v>
      </c>
      <c r="G32" s="310"/>
      <c r="H32" s="310">
        <v>5</v>
      </c>
      <c r="I32" s="310"/>
      <c r="J32" s="310">
        <v>0</v>
      </c>
      <c r="K32" s="310">
        <v>0</v>
      </c>
      <c r="L32" s="310">
        <v>0</v>
      </c>
      <c r="M32" s="311">
        <v>0</v>
      </c>
      <c r="N32" s="325" t="s">
        <v>780</v>
      </c>
    </row>
    <row r="33" spans="1:14" ht="29.7">
      <c r="A33" s="265" t="s">
        <v>321</v>
      </c>
      <c r="B33" s="36" t="s">
        <v>779</v>
      </c>
      <c r="C33" s="266" t="s">
        <v>322</v>
      </c>
      <c r="D33" s="265"/>
      <c r="E33" s="263">
        <v>10</v>
      </c>
      <c r="F33" s="309">
        <f t="shared" si="2"/>
        <v>10</v>
      </c>
      <c r="G33" s="310">
        <v>0</v>
      </c>
      <c r="H33" s="310">
        <v>10</v>
      </c>
      <c r="I33" s="310">
        <v>0</v>
      </c>
      <c r="J33" s="310">
        <v>0</v>
      </c>
      <c r="K33" s="310">
        <v>0</v>
      </c>
      <c r="L33" s="310">
        <v>0</v>
      </c>
      <c r="M33" s="311">
        <v>0</v>
      </c>
      <c r="N33" s="325" t="s">
        <v>781</v>
      </c>
    </row>
    <row r="34" spans="1:14">
      <c r="A34" s="40" t="s">
        <v>326</v>
      </c>
      <c r="B34" s="265"/>
      <c r="C34" s="266"/>
      <c r="D34" s="267"/>
      <c r="E34" s="42">
        <f t="shared" ref="E34:M34" si="3">SUM(E20:E33)</f>
        <v>961</v>
      </c>
      <c r="F34" s="43">
        <f t="shared" si="3"/>
        <v>961</v>
      </c>
      <c r="G34" s="43">
        <f t="shared" si="3"/>
        <v>0</v>
      </c>
      <c r="H34" s="43">
        <f t="shared" si="3"/>
        <v>682</v>
      </c>
      <c r="I34" s="43">
        <f t="shared" si="3"/>
        <v>0</v>
      </c>
      <c r="J34" s="43">
        <f t="shared" si="3"/>
        <v>0</v>
      </c>
      <c r="K34" s="43">
        <f t="shared" si="3"/>
        <v>0</v>
      </c>
      <c r="L34" s="43">
        <f t="shared" si="3"/>
        <v>0</v>
      </c>
      <c r="M34" s="43">
        <f t="shared" si="3"/>
        <v>279</v>
      </c>
      <c r="N34" s="355"/>
    </row>
    <row r="35" spans="1:14" s="151" customFormat="1">
      <c r="A35" s="40" t="s">
        <v>327</v>
      </c>
      <c r="B35" s="51"/>
      <c r="C35" s="149"/>
      <c r="D35" s="267"/>
      <c r="E35" s="241"/>
      <c r="F35" s="240">
        <v>0</v>
      </c>
      <c r="G35" s="240"/>
      <c r="H35" s="240">
        <v>0</v>
      </c>
      <c r="I35" s="240"/>
      <c r="J35" s="240"/>
      <c r="K35" s="240"/>
      <c r="L35" s="240"/>
      <c r="M35" s="240"/>
      <c r="N35" s="355"/>
    </row>
    <row r="36" spans="1:14">
      <c r="A36" s="40" t="s">
        <v>328</v>
      </c>
      <c r="B36" s="46"/>
      <c r="C36" s="47"/>
      <c r="D36" s="48">
        <f>D34+D18+D11</f>
        <v>0</v>
      </c>
      <c r="E36" s="17">
        <f t="shared" ref="E36:M36" si="4">E11+E18+E34</f>
        <v>1180</v>
      </c>
      <c r="F36" s="17">
        <f t="shared" si="4"/>
        <v>1309</v>
      </c>
      <c r="G36" s="17">
        <f t="shared" si="4"/>
        <v>0</v>
      </c>
      <c r="H36" s="17">
        <f t="shared" si="4"/>
        <v>682</v>
      </c>
      <c r="I36" s="17">
        <f t="shared" si="4"/>
        <v>0</v>
      </c>
      <c r="J36" s="17">
        <f t="shared" si="4"/>
        <v>0</v>
      </c>
      <c r="K36" s="17">
        <f t="shared" si="4"/>
        <v>283</v>
      </c>
      <c r="L36" s="17">
        <f t="shared" si="4"/>
        <v>0</v>
      </c>
      <c r="M36" s="17">
        <f t="shared" si="4"/>
        <v>344</v>
      </c>
      <c r="N36" s="353"/>
    </row>
    <row r="37" spans="1:14">
      <c r="A37" s="56"/>
      <c r="B37" s="381"/>
      <c r="C37" s="687"/>
      <c r="D37" s="381" t="s">
        <v>759</v>
      </c>
      <c r="E37" s="394">
        <v>597</v>
      </c>
      <c r="F37" s="262">
        <f>SUM(G40:L40)</f>
        <v>450.40000000000003</v>
      </c>
      <c r="G37" s="381"/>
      <c r="H37" s="381"/>
      <c r="I37" s="381"/>
      <c r="J37" s="381"/>
      <c r="K37" s="381"/>
      <c r="L37" s="381"/>
      <c r="M37" s="381"/>
      <c r="N37" s="381"/>
    </row>
    <row r="38" spans="1:14" s="285" customFormat="1" ht="29.7">
      <c r="A38" s="780" t="s">
        <v>569</v>
      </c>
      <c r="B38" s="781"/>
      <c r="C38" s="781"/>
      <c r="D38" s="781"/>
      <c r="E38" s="782"/>
      <c r="F38" s="298" t="s">
        <v>570</v>
      </c>
      <c r="G38" s="310" t="s">
        <v>0</v>
      </c>
      <c r="H38" s="310" t="s">
        <v>1</v>
      </c>
      <c r="I38" s="310" t="s">
        <v>2</v>
      </c>
      <c r="J38" s="310" t="s">
        <v>3</v>
      </c>
      <c r="K38" s="310" t="s">
        <v>4</v>
      </c>
      <c r="L38" s="310" t="s">
        <v>34</v>
      </c>
      <c r="M38" s="297" t="s">
        <v>283</v>
      </c>
      <c r="N38" s="355" t="s">
        <v>284</v>
      </c>
    </row>
    <row r="39" spans="1:14" s="285" customFormat="1">
      <c r="A39" s="783" t="s">
        <v>760</v>
      </c>
      <c r="B39" s="784"/>
      <c r="C39" s="784"/>
      <c r="D39" s="785"/>
      <c r="E39" s="91"/>
      <c r="F39" s="88"/>
      <c r="G39" s="432">
        <v>0.08</v>
      </c>
      <c r="H39" s="432">
        <v>0.23</v>
      </c>
      <c r="I39" s="432">
        <v>0.05</v>
      </c>
      <c r="J39" s="432">
        <v>0.04</v>
      </c>
      <c r="K39" s="432"/>
      <c r="L39" s="432"/>
      <c r="M39" s="432">
        <v>0.6</v>
      </c>
      <c r="N39" s="89"/>
    </row>
    <row r="40" spans="1:14" s="285" customFormat="1" ht="60.15" thickBot="1">
      <c r="A40" s="774" t="s">
        <v>691</v>
      </c>
      <c r="B40" s="775"/>
      <c r="C40" s="775"/>
      <c r="D40" s="776"/>
      <c r="E40" s="83"/>
      <c r="F40" s="84">
        <f>F36-B48</f>
        <v>1126</v>
      </c>
      <c r="G40" s="85">
        <f>($F40)*G39</f>
        <v>90.08</v>
      </c>
      <c r="H40" s="85">
        <f>($F40)*H39</f>
        <v>258.98</v>
      </c>
      <c r="I40" s="85">
        <f>($F40)*I39</f>
        <v>56.300000000000004</v>
      </c>
      <c r="J40" s="85">
        <f>($F40)*J39</f>
        <v>45.04</v>
      </c>
      <c r="K40" s="85">
        <f>$F40*K39</f>
        <v>0</v>
      </c>
      <c r="L40" s="85">
        <f>$F40*L39</f>
        <v>0</v>
      </c>
      <c r="M40" s="86">
        <f>($F40)*M39</f>
        <v>675.6</v>
      </c>
      <c r="N40" s="503" t="s">
        <v>782</v>
      </c>
    </row>
    <row r="41" spans="1:14" s="285" customFormat="1">
      <c r="A41" s="777" t="s">
        <v>573</v>
      </c>
      <c r="B41" s="778"/>
      <c r="C41" s="778"/>
      <c r="D41" s="779"/>
      <c r="E41" s="78"/>
      <c r="F41" s="79"/>
      <c r="G41" s="80">
        <f t="shared" ref="G41:L41" si="5">G36-G40</f>
        <v>-90.08</v>
      </c>
      <c r="H41" s="80">
        <f>H36-H40</f>
        <v>423.02</v>
      </c>
      <c r="I41" s="80">
        <f t="shared" si="5"/>
        <v>-56.300000000000004</v>
      </c>
      <c r="J41" s="80">
        <f t="shared" si="5"/>
        <v>-45.04</v>
      </c>
      <c r="K41" s="80">
        <f>K36-K40-B50</f>
        <v>100</v>
      </c>
      <c r="L41" s="80">
        <f t="shared" si="5"/>
        <v>0</v>
      </c>
      <c r="M41" s="81">
        <f>M36-M40</f>
        <v>-331.6</v>
      </c>
      <c r="N41" s="82"/>
    </row>
    <row r="43" spans="1:14">
      <c r="A43" s="381"/>
      <c r="B43" s="381"/>
      <c r="C43" s="687"/>
      <c r="D43" s="381"/>
      <c r="E43" s="381"/>
      <c r="F43" s="484">
        <f>+G39+H39+I39+J39</f>
        <v>0.39999999999999997</v>
      </c>
      <c r="G43" s="485">
        <f>+G39/$F$43</f>
        <v>0.2</v>
      </c>
      <c r="H43" s="485">
        <f>+H39/$F$43</f>
        <v>0.57500000000000007</v>
      </c>
      <c r="I43" s="485">
        <f>+I39/$F$43</f>
        <v>0.12500000000000003</v>
      </c>
      <c r="J43" s="485">
        <f>+J39/$F$43</f>
        <v>0.1</v>
      </c>
      <c r="K43" s="381"/>
      <c r="L43" s="381"/>
      <c r="M43" s="381"/>
      <c r="N43" s="381"/>
    </row>
    <row r="45" spans="1:14">
      <c r="A45" s="381"/>
      <c r="B45" s="381"/>
      <c r="C45" s="687"/>
      <c r="D45" s="381"/>
      <c r="E45" s="381"/>
      <c r="F45" s="381">
        <v>70000</v>
      </c>
      <c r="G45" s="381">
        <f>+G43*$F$45</f>
        <v>14000</v>
      </c>
      <c r="H45" s="381">
        <f>+H43*$F$45</f>
        <v>40250.000000000007</v>
      </c>
      <c r="I45" s="381">
        <f>+I43*$F$45</f>
        <v>8750.0000000000018</v>
      </c>
      <c r="J45" s="381">
        <f>+J43*$F$45</f>
        <v>7000</v>
      </c>
      <c r="K45" s="381"/>
      <c r="L45" s="381"/>
      <c r="M45" s="381"/>
      <c r="N45" s="381"/>
    </row>
    <row r="46" spans="1:14">
      <c r="A46" s="466" t="s">
        <v>783</v>
      </c>
      <c r="B46" s="381"/>
      <c r="C46" s="687"/>
      <c r="D46" s="381"/>
      <c r="E46" s="381"/>
      <c r="F46" s="381"/>
      <c r="G46" s="381"/>
      <c r="H46" s="381"/>
      <c r="I46" s="381"/>
      <c r="J46" s="381"/>
      <c r="K46" s="381"/>
      <c r="L46" s="381"/>
      <c r="M46" s="381"/>
      <c r="N46" s="381"/>
    </row>
    <row r="47" spans="1:14">
      <c r="A47" s="56" t="s">
        <v>392</v>
      </c>
      <c r="B47" s="389" t="s">
        <v>393</v>
      </c>
      <c r="C47" s="31" t="s">
        <v>359</v>
      </c>
      <c r="D47" s="381"/>
      <c r="E47" s="381"/>
      <c r="F47" s="381"/>
      <c r="G47" s="381"/>
      <c r="H47" s="381"/>
      <c r="I47" s="381"/>
      <c r="J47" s="381"/>
      <c r="K47" s="381"/>
      <c r="L47" s="381"/>
      <c r="M47" s="381"/>
      <c r="N47" s="381"/>
    </row>
    <row r="48" spans="1:14">
      <c r="A48" s="57" t="s">
        <v>394</v>
      </c>
      <c r="B48" s="58">
        <f>54+129</f>
        <v>183</v>
      </c>
      <c r="C48" s="58">
        <v>54</v>
      </c>
      <c r="D48" s="381"/>
      <c r="E48" s="381"/>
      <c r="F48" s="381"/>
      <c r="G48" s="381"/>
      <c r="H48" s="381"/>
      <c r="I48" s="381"/>
      <c r="J48" s="381"/>
      <c r="K48" s="381"/>
      <c r="L48" s="381"/>
      <c r="M48" s="381"/>
      <c r="N48" s="381"/>
    </row>
    <row r="49" spans="1:14">
      <c r="A49" s="264" t="s">
        <v>396</v>
      </c>
      <c r="B49" s="59">
        <v>0</v>
      </c>
      <c r="C49" s="59">
        <v>0</v>
      </c>
      <c r="D49" s="381"/>
      <c r="E49" s="381"/>
      <c r="F49" s="381"/>
      <c r="G49" s="381"/>
      <c r="H49" s="381"/>
      <c r="I49" s="381"/>
      <c r="J49" s="381"/>
      <c r="K49" s="381"/>
      <c r="L49" s="381"/>
      <c r="M49" s="381"/>
      <c r="N49" s="381"/>
    </row>
    <row r="50" spans="1:14">
      <c r="A50" s="60" t="s">
        <v>784</v>
      </c>
      <c r="B50" s="61">
        <f>B48-B49</f>
        <v>183</v>
      </c>
      <c r="C50" s="61">
        <f>+C48-C49</f>
        <v>54</v>
      </c>
      <c r="D50" s="381"/>
      <c r="E50" s="381"/>
      <c r="F50" s="381"/>
      <c r="G50" s="381"/>
      <c r="H50" s="381"/>
      <c r="I50" s="381"/>
      <c r="J50" s="381"/>
      <c r="K50" s="381"/>
      <c r="L50" s="381"/>
      <c r="M50" s="381"/>
      <c r="N50" s="381"/>
    </row>
    <row r="51" spans="1:14">
      <c r="A51" s="381"/>
      <c r="B51" s="381"/>
      <c r="C51" s="687"/>
      <c r="D51" s="381"/>
      <c r="E51" s="381"/>
      <c r="F51" s="381"/>
      <c r="G51" s="381"/>
      <c r="H51" s="381"/>
      <c r="I51" s="381"/>
      <c r="J51" s="381"/>
      <c r="K51" s="381"/>
      <c r="L51" s="381"/>
      <c r="M51" s="381"/>
      <c r="N51" s="381"/>
    </row>
    <row r="53" spans="1:14" s="381" customFormat="1" ht="15.6" thickBot="1">
      <c r="A53" s="31"/>
      <c r="B53" s="31"/>
      <c r="C53" s="32"/>
      <c r="D53" s="31"/>
      <c r="E53" s="31"/>
      <c r="F53" s="31"/>
      <c r="G53" s="31"/>
      <c r="H53" s="31"/>
      <c r="I53" s="31"/>
      <c r="J53" s="31"/>
      <c r="K53" s="31"/>
      <c r="L53" s="31"/>
      <c r="M53" s="31"/>
      <c r="N53" s="562"/>
    </row>
    <row r="54" spans="1:14" s="381" customFormat="1" ht="15.6">
      <c r="A54" s="764" t="s">
        <v>330</v>
      </c>
      <c r="B54" s="765"/>
      <c r="C54" s="765"/>
      <c r="D54" s="765"/>
      <c r="E54" s="765"/>
      <c r="F54" s="765"/>
      <c r="G54" s="581"/>
      <c r="H54" s="31"/>
      <c r="I54" s="31"/>
      <c r="J54" s="31"/>
      <c r="K54" s="31"/>
      <c r="L54" s="31"/>
      <c r="M54" s="31"/>
      <c r="N54" s="562"/>
    </row>
    <row r="55" spans="1:14" s="381" customFormat="1" ht="15.6">
      <c r="A55" s="738"/>
      <c r="B55" s="739"/>
      <c r="C55" s="739"/>
      <c r="D55" s="739"/>
      <c r="E55" s="739"/>
      <c r="F55" s="739"/>
      <c r="G55" s="582"/>
      <c r="H55" s="31"/>
      <c r="I55" s="31"/>
      <c r="J55" s="31"/>
      <c r="K55" s="31"/>
      <c r="L55" s="31"/>
      <c r="M55" s="31"/>
      <c r="N55" s="562"/>
    </row>
    <row r="56" spans="1:14" s="381" customFormat="1">
      <c r="A56" s="740" t="s">
        <v>331</v>
      </c>
      <c r="B56" s="741"/>
      <c r="C56" s="583"/>
      <c r="D56" s="583"/>
      <c r="E56" s="583"/>
      <c r="F56" s="583"/>
      <c r="G56" s="582"/>
      <c r="H56" s="31"/>
      <c r="I56" s="31"/>
      <c r="J56" s="31"/>
      <c r="K56" s="31"/>
      <c r="L56" s="31"/>
      <c r="M56" s="31"/>
      <c r="N56" s="562"/>
    </row>
    <row r="57" spans="1:14" s="381" customFormat="1">
      <c r="A57" s="584" t="s">
        <v>480</v>
      </c>
      <c r="B57" s="585">
        <f>E36</f>
        <v>1180</v>
      </c>
      <c r="C57" s="586"/>
      <c r="D57" s="587"/>
      <c r="E57" s="587"/>
      <c r="F57" s="587"/>
      <c r="G57" s="582"/>
      <c r="H57" s="31"/>
      <c r="I57" s="31"/>
      <c r="J57" s="31"/>
      <c r="K57" s="31"/>
      <c r="L57" s="31"/>
      <c r="M57" s="31"/>
      <c r="N57" s="562"/>
    </row>
    <row r="58" spans="1:14" s="381" customFormat="1">
      <c r="A58" s="588" t="s">
        <v>481</v>
      </c>
      <c r="B58" s="589">
        <f>F36</f>
        <v>1309</v>
      </c>
      <c r="C58" s="586"/>
      <c r="D58" s="587"/>
      <c r="E58" s="587"/>
      <c r="F58" s="587"/>
      <c r="G58" s="582"/>
      <c r="H58" s="31"/>
      <c r="I58" s="31"/>
      <c r="J58" s="31"/>
      <c r="K58" s="31"/>
      <c r="L58" s="31"/>
      <c r="M58" s="31"/>
      <c r="N58" s="562"/>
    </row>
    <row r="59" spans="1:14" s="381" customFormat="1">
      <c r="A59" s="590" t="s">
        <v>334</v>
      </c>
      <c r="B59" s="591">
        <f>B58-B57</f>
        <v>129</v>
      </c>
      <c r="C59" s="586"/>
      <c r="D59" s="587"/>
      <c r="E59" s="587"/>
      <c r="F59" s="587"/>
      <c r="G59" s="582"/>
      <c r="H59" s="31"/>
      <c r="I59" s="31"/>
      <c r="J59" s="31"/>
      <c r="K59" s="31"/>
      <c r="L59" s="31"/>
      <c r="M59" s="31"/>
      <c r="N59" s="562"/>
    </row>
    <row r="60" spans="1:14" s="381" customFormat="1">
      <c r="A60" s="590" t="s">
        <v>335</v>
      </c>
      <c r="B60" s="592">
        <f>B59/B57</f>
        <v>0.10932203389830508</v>
      </c>
      <c r="C60" s="586"/>
      <c r="D60" s="587"/>
      <c r="E60" s="587"/>
      <c r="F60" s="587"/>
      <c r="G60" s="582"/>
      <c r="H60" s="31"/>
      <c r="I60" s="31"/>
      <c r="J60" s="31"/>
      <c r="K60" s="31"/>
      <c r="L60" s="31"/>
      <c r="M60" s="31"/>
      <c r="N60" s="562"/>
    </row>
    <row r="61" spans="1:14" s="381" customFormat="1">
      <c r="A61" s="593"/>
      <c r="B61" s="587"/>
      <c r="C61" s="686"/>
      <c r="D61" s="587"/>
      <c r="E61" s="587"/>
      <c r="F61" s="587"/>
      <c r="G61" s="582"/>
      <c r="H61" s="31"/>
      <c r="I61" s="31"/>
      <c r="J61" s="31"/>
      <c r="K61" s="31"/>
      <c r="L61" s="31"/>
      <c r="M61" s="31"/>
      <c r="N61" s="562"/>
    </row>
    <row r="62" spans="1:14" s="381" customFormat="1">
      <c r="A62" s="820" t="s">
        <v>761</v>
      </c>
      <c r="B62" s="732"/>
      <c r="C62" s="732"/>
      <c r="D62" s="732"/>
      <c r="E62" s="732"/>
      <c r="F62" s="732"/>
      <c r="G62" s="582"/>
      <c r="H62" s="31"/>
      <c r="I62" s="31"/>
      <c r="J62" s="31"/>
      <c r="K62" s="31"/>
      <c r="L62" s="31"/>
      <c r="M62" s="31"/>
      <c r="N62" s="562"/>
    </row>
    <row r="63" spans="1:14" s="381" customFormat="1" ht="28.05" customHeight="1">
      <c r="A63" s="742" t="s">
        <v>785</v>
      </c>
      <c r="B63" s="743"/>
      <c r="C63" s="743"/>
      <c r="D63" s="743"/>
      <c r="E63" s="743"/>
      <c r="F63" s="744"/>
      <c r="G63" s="582"/>
      <c r="H63" s="31"/>
      <c r="I63" s="31"/>
      <c r="J63" s="31"/>
      <c r="K63" s="31"/>
      <c r="L63" s="31"/>
      <c r="M63" s="31"/>
      <c r="N63" s="562"/>
    </row>
    <row r="64" spans="1:14" s="381" customFormat="1">
      <c r="A64" s="594"/>
      <c r="B64" s="595"/>
      <c r="C64" s="595"/>
      <c r="D64" s="595"/>
      <c r="E64" s="595"/>
      <c r="F64" s="595"/>
      <c r="G64" s="582"/>
      <c r="H64" s="31"/>
      <c r="I64" s="31"/>
      <c r="J64" s="31"/>
      <c r="K64" s="31"/>
      <c r="L64" s="31"/>
      <c r="M64" s="31"/>
      <c r="N64" s="562"/>
    </row>
    <row r="65" spans="1:14" s="381" customFormat="1">
      <c r="A65" s="596" t="s">
        <v>337</v>
      </c>
      <c r="B65" s="587"/>
      <c r="C65" s="686"/>
      <c r="D65" s="587"/>
      <c r="E65" s="587"/>
      <c r="F65" s="587"/>
      <c r="G65" s="582"/>
      <c r="H65" s="31"/>
      <c r="I65" s="31"/>
      <c r="J65" s="31"/>
      <c r="K65" s="31"/>
      <c r="L65" s="31"/>
      <c r="M65" s="31"/>
      <c r="N65" s="562"/>
    </row>
    <row r="66" spans="1:14" s="381" customFormat="1" ht="66.8" customHeight="1">
      <c r="A66" s="742" t="s">
        <v>786</v>
      </c>
      <c r="B66" s="736"/>
      <c r="C66" s="736"/>
      <c r="D66" s="736"/>
      <c r="E66" s="736"/>
      <c r="F66" s="737"/>
      <c r="G66" s="582"/>
      <c r="H66" s="31"/>
      <c r="I66" s="31"/>
      <c r="J66" s="31"/>
      <c r="K66" s="31"/>
      <c r="L66" s="31"/>
      <c r="M66" s="31"/>
      <c r="N66" s="562"/>
    </row>
    <row r="67" spans="1:14" s="381" customFormat="1">
      <c r="A67" s="593"/>
      <c r="B67" s="587"/>
      <c r="C67" s="686"/>
      <c r="D67" s="587"/>
      <c r="E67" s="587"/>
      <c r="F67" s="587"/>
      <c r="G67" s="582"/>
      <c r="H67" s="31"/>
      <c r="I67" s="31"/>
      <c r="J67" s="31"/>
      <c r="K67" s="31"/>
      <c r="L67" s="31"/>
      <c r="M67" s="31"/>
      <c r="N67" s="562"/>
    </row>
    <row r="68" spans="1:14" s="381" customFormat="1">
      <c r="A68" s="731" t="s">
        <v>365</v>
      </c>
      <c r="B68" s="732"/>
      <c r="C68" s="732"/>
      <c r="D68" s="732"/>
      <c r="E68" s="732"/>
      <c r="F68" s="732"/>
      <c r="G68" s="582"/>
      <c r="H68" s="31"/>
      <c r="I68" s="31"/>
      <c r="J68" s="31"/>
      <c r="K68" s="31"/>
      <c r="L68" s="31"/>
      <c r="M68" s="31"/>
      <c r="N68" s="562"/>
    </row>
    <row r="69" spans="1:14" s="381" customFormat="1">
      <c r="A69" s="819" t="s">
        <v>461</v>
      </c>
      <c r="B69" s="734"/>
      <c r="C69" s="734"/>
      <c r="D69" s="734"/>
      <c r="E69" s="734"/>
      <c r="F69" s="734"/>
      <c r="G69" s="582"/>
      <c r="H69" s="31"/>
      <c r="I69" s="31"/>
      <c r="J69" s="31"/>
      <c r="K69" s="31"/>
      <c r="L69" s="31"/>
      <c r="M69" s="31"/>
      <c r="N69" s="562"/>
    </row>
    <row r="70" spans="1:14" s="381" customFormat="1" ht="143.30000000000001" customHeight="1">
      <c r="A70" s="742" t="s">
        <v>764</v>
      </c>
      <c r="B70" s="736"/>
      <c r="C70" s="736"/>
      <c r="D70" s="736"/>
      <c r="E70" s="736"/>
      <c r="F70" s="737"/>
      <c r="G70" s="582"/>
      <c r="H70" s="31"/>
      <c r="I70" s="31"/>
      <c r="J70" s="31"/>
      <c r="K70" s="31"/>
      <c r="L70" s="31"/>
      <c r="M70" s="31"/>
      <c r="N70" s="562"/>
    </row>
    <row r="71" spans="1:14" s="381" customFormat="1">
      <c r="A71" s="596"/>
      <c r="B71" s="587"/>
      <c r="C71" s="686"/>
      <c r="D71" s="587"/>
      <c r="E71" s="587"/>
      <c r="F71" s="587"/>
      <c r="G71" s="582"/>
      <c r="H71" s="31"/>
      <c r="I71" s="31"/>
      <c r="J71" s="31"/>
      <c r="K71" s="31"/>
      <c r="L71" s="31"/>
      <c r="M71" s="31"/>
      <c r="N71" s="562"/>
    </row>
    <row r="72" spans="1:14" s="381" customFormat="1">
      <c r="A72" s="731" t="s">
        <v>340</v>
      </c>
      <c r="B72" s="732"/>
      <c r="C72" s="732"/>
      <c r="D72" s="732"/>
      <c r="E72" s="732"/>
      <c r="F72" s="587"/>
      <c r="G72" s="582"/>
      <c r="H72" s="31"/>
      <c r="I72" s="31"/>
      <c r="J72" s="31"/>
      <c r="K72" s="31"/>
      <c r="L72" s="31"/>
      <c r="M72" s="31"/>
      <c r="N72" s="562"/>
    </row>
    <row r="73" spans="1:14" s="381" customFormat="1">
      <c r="A73" s="735" t="s">
        <v>765</v>
      </c>
      <c r="B73" s="729"/>
      <c r="C73" s="729"/>
      <c r="D73" s="729"/>
      <c r="E73" s="729"/>
      <c r="F73" s="730"/>
      <c r="G73" s="582"/>
      <c r="H73" s="31"/>
      <c r="I73" s="31"/>
      <c r="J73" s="31"/>
      <c r="K73" s="31"/>
      <c r="L73" s="31"/>
      <c r="M73" s="31"/>
      <c r="N73" s="562"/>
    </row>
    <row r="74" spans="1:14" s="381" customFormat="1">
      <c r="A74" s="593"/>
      <c r="B74" s="587"/>
      <c r="C74" s="686"/>
      <c r="D74" s="587"/>
      <c r="E74" s="587"/>
      <c r="F74" s="587"/>
      <c r="G74" s="582"/>
      <c r="H74" s="31"/>
      <c r="I74" s="31"/>
      <c r="J74" s="31"/>
      <c r="K74" s="31"/>
      <c r="L74" s="31"/>
      <c r="M74" s="31"/>
      <c r="N74" s="562"/>
    </row>
    <row r="75" spans="1:14" s="381" customFormat="1">
      <c r="A75" s="596" t="s">
        <v>341</v>
      </c>
      <c r="B75" s="587"/>
      <c r="C75" s="686"/>
      <c r="D75" s="587"/>
      <c r="E75" s="587"/>
      <c r="F75" s="587"/>
      <c r="G75" s="582"/>
      <c r="H75" s="31"/>
      <c r="I75" s="31"/>
      <c r="J75" s="31"/>
      <c r="K75" s="31"/>
      <c r="L75" s="31"/>
      <c r="M75" s="31"/>
      <c r="N75" s="562"/>
    </row>
    <row r="76" spans="1:14" s="381" customFormat="1">
      <c r="A76" s="597" t="s">
        <v>342</v>
      </c>
      <c r="B76" s="587"/>
      <c r="C76" s="686"/>
      <c r="D76" s="587"/>
      <c r="E76" s="587"/>
      <c r="F76" s="587"/>
      <c r="G76" s="582"/>
      <c r="H76" s="31"/>
      <c r="I76" s="31"/>
      <c r="J76" s="31"/>
      <c r="K76" s="31"/>
      <c r="L76" s="31"/>
      <c r="M76" s="31"/>
      <c r="N76" s="562"/>
    </row>
    <row r="77" spans="1:14" s="381" customFormat="1" ht="28.8" customHeight="1">
      <c r="A77" s="815" t="s">
        <v>368</v>
      </c>
      <c r="B77" s="816"/>
      <c r="C77" s="816"/>
      <c r="D77" s="816"/>
      <c r="E77" s="816"/>
      <c r="F77" s="816"/>
      <c r="G77" s="582"/>
      <c r="H77" s="31"/>
      <c r="I77" s="31"/>
      <c r="J77" s="31"/>
      <c r="K77" s="31"/>
      <c r="L77" s="31"/>
      <c r="M77" s="31"/>
      <c r="N77" s="562"/>
    </row>
    <row r="78" spans="1:14" s="381" customFormat="1" ht="36.75" customHeight="1">
      <c r="A78" s="742" t="s">
        <v>787</v>
      </c>
      <c r="B78" s="743"/>
      <c r="C78" s="743"/>
      <c r="D78" s="743"/>
      <c r="E78" s="743"/>
      <c r="F78" s="744"/>
      <c r="G78" s="582"/>
      <c r="H78" s="31"/>
      <c r="I78" s="31"/>
      <c r="J78" s="31"/>
      <c r="K78" s="31"/>
      <c r="L78" s="31"/>
      <c r="M78" s="31"/>
      <c r="N78" s="562"/>
    </row>
    <row r="79" spans="1:14" s="381" customFormat="1">
      <c r="A79" s="724"/>
      <c r="B79" s="725"/>
      <c r="C79" s="725"/>
      <c r="D79" s="725"/>
      <c r="E79" s="725"/>
      <c r="F79" s="725"/>
      <c r="G79" s="582"/>
      <c r="H79" s="31"/>
      <c r="I79" s="31"/>
      <c r="J79" s="31"/>
      <c r="K79" s="31"/>
      <c r="L79" s="31"/>
      <c r="M79" s="31"/>
      <c r="N79" s="562"/>
    </row>
    <row r="80" spans="1:14" s="381" customFormat="1">
      <c r="A80" s="597" t="s">
        <v>344</v>
      </c>
      <c r="B80" s="587"/>
      <c r="C80" s="686"/>
      <c r="D80" s="587"/>
      <c r="E80" s="587"/>
      <c r="F80" s="587"/>
      <c r="G80" s="582"/>
      <c r="H80" s="31"/>
      <c r="I80" s="31"/>
      <c r="J80" s="31"/>
      <c r="K80" s="31"/>
      <c r="L80" s="31"/>
      <c r="M80" s="31"/>
      <c r="N80" s="562"/>
    </row>
    <row r="81" spans="1:14" s="381" customFormat="1" ht="23.2" customHeight="1">
      <c r="A81" s="817" t="s">
        <v>345</v>
      </c>
      <c r="B81" s="818"/>
      <c r="C81" s="818"/>
      <c r="D81" s="818"/>
      <c r="E81" s="818"/>
      <c r="F81" s="818"/>
      <c r="G81" s="582"/>
      <c r="H81" s="31"/>
      <c r="I81" s="31"/>
      <c r="J81" s="31"/>
      <c r="K81" s="31"/>
      <c r="L81" s="31"/>
      <c r="M81" s="31"/>
      <c r="N81" s="562"/>
    </row>
    <row r="82" spans="1:14" s="381" customFormat="1" ht="28.05" customHeight="1">
      <c r="A82" s="742"/>
      <c r="B82" s="743"/>
      <c r="C82" s="743"/>
      <c r="D82" s="743"/>
      <c r="E82" s="743"/>
      <c r="F82" s="744"/>
      <c r="G82" s="582"/>
      <c r="H82" s="31"/>
      <c r="I82" s="31"/>
      <c r="J82" s="31"/>
      <c r="K82" s="31"/>
      <c r="L82" s="31"/>
      <c r="M82" s="31"/>
      <c r="N82" s="562"/>
    </row>
    <row r="83" spans="1:14" s="381" customFormat="1" ht="15.6" thickBot="1">
      <c r="A83" s="598"/>
      <c r="B83" s="599"/>
      <c r="C83" s="600"/>
      <c r="D83" s="599"/>
      <c r="E83" s="599"/>
      <c r="F83" s="599"/>
      <c r="G83" s="601"/>
      <c r="H83" s="31"/>
      <c r="I83" s="31"/>
      <c r="J83" s="31"/>
      <c r="K83" s="31"/>
      <c r="L83" s="31"/>
      <c r="M83" s="31"/>
      <c r="N83" s="562"/>
    </row>
    <row r="84" spans="1:14" s="381" customFormat="1">
      <c r="A84" s="31"/>
      <c r="B84" s="31"/>
      <c r="C84" s="32"/>
      <c r="D84" s="31"/>
      <c r="E84" s="31"/>
      <c r="F84" s="31"/>
      <c r="G84" s="31"/>
      <c r="H84" s="31"/>
      <c r="I84" s="31"/>
      <c r="J84" s="31"/>
      <c r="K84" s="31"/>
      <c r="L84" s="31"/>
      <c r="M84" s="31"/>
      <c r="N84" s="562"/>
    </row>
  </sheetData>
  <mergeCells count="21">
    <mergeCell ref="A1:N1"/>
    <mergeCell ref="A38:E38"/>
    <mergeCell ref="A39:D39"/>
    <mergeCell ref="A40:D40"/>
    <mergeCell ref="A41:D41"/>
    <mergeCell ref="A54:F54"/>
    <mergeCell ref="A55:F55"/>
    <mergeCell ref="A56:B56"/>
    <mergeCell ref="A62:F62"/>
    <mergeCell ref="A63:F63"/>
    <mergeCell ref="A66:F66"/>
    <mergeCell ref="A68:F68"/>
    <mergeCell ref="A69:F69"/>
    <mergeCell ref="A70:F70"/>
    <mergeCell ref="A72:E72"/>
    <mergeCell ref="A82:F82"/>
    <mergeCell ref="A73:F73"/>
    <mergeCell ref="A77:F77"/>
    <mergeCell ref="A78:F78"/>
    <mergeCell ref="A79:F79"/>
    <mergeCell ref="A81:F81"/>
  </mergeCells>
  <printOptions horizontalCentered="1"/>
  <pageMargins left="0.2" right="0.2" top="0.75" bottom="0.75" header="0.3" footer="0.3"/>
  <pageSetup scale="74" orientation="landscape" r:id="rId1"/>
  <headerFooter>
    <oddHeader xml:space="preserve">&amp;CDRAFT NOT FOR DISTRIBUTION, INTERNAL USE ONLY
</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39997558519241921"/>
    <pageSetUpPr fitToPage="1"/>
  </sheetPr>
  <dimension ref="A1:N78"/>
  <sheetViews>
    <sheetView zoomScaleNormal="100" workbookViewId="0">
      <selection sqref="A1:N1"/>
    </sheetView>
  </sheetViews>
  <sheetFormatPr defaultRowHeight="14.85"/>
  <cols>
    <col min="1" max="1" width="39.5703125" customWidth="1"/>
    <col min="2" max="2" width="16.7109375" bestFit="1" customWidth="1"/>
    <col min="3" max="3" width="7.7109375" style="30" customWidth="1"/>
    <col min="4" max="4" width="16.85546875" customWidth="1"/>
    <col min="5" max="5" width="10.7109375" customWidth="1"/>
    <col min="6" max="6" width="11" customWidth="1"/>
    <col min="7" max="7" width="9.5703125" customWidth="1"/>
    <col min="8" max="8" width="8.42578125" customWidth="1"/>
    <col min="9" max="10" width="9.85546875" bestFit="1" customWidth="1"/>
    <col min="11" max="11" width="7.7109375" customWidth="1"/>
    <col min="12" max="12" width="9.7109375" customWidth="1"/>
    <col min="13" max="13" width="9.140625" customWidth="1"/>
    <col min="14" max="14" width="23.42578125" customWidth="1"/>
  </cols>
  <sheetData>
    <row r="1" spans="1:14" ht="15.6">
      <c r="A1" s="745" t="s">
        <v>536</v>
      </c>
      <c r="B1" s="745"/>
      <c r="C1" s="745"/>
      <c r="D1" s="745"/>
      <c r="E1" s="745"/>
      <c r="F1" s="745"/>
      <c r="G1" s="745"/>
      <c r="H1" s="745"/>
      <c r="I1" s="745"/>
      <c r="J1" s="745"/>
      <c r="K1" s="745"/>
      <c r="L1" s="745"/>
      <c r="M1" s="745"/>
      <c r="N1" s="745"/>
    </row>
    <row r="2" spans="1:14">
      <c r="A2" s="65" t="s">
        <v>788</v>
      </c>
      <c r="B2" s="381"/>
      <c r="C2" s="687"/>
      <c r="D2" s="381"/>
      <c r="E2" s="381"/>
      <c r="F2" s="381"/>
      <c r="G2" s="381"/>
      <c r="H2" s="381"/>
      <c r="I2" s="381"/>
      <c r="J2" s="381"/>
      <c r="K2" s="381"/>
      <c r="L2" s="381"/>
      <c r="M2" s="381"/>
      <c r="N2" s="381"/>
    </row>
    <row r="3" spans="1:14">
      <c r="A3" s="68" t="s">
        <v>789</v>
      </c>
      <c r="B3" s="381"/>
      <c r="C3" s="687"/>
      <c r="D3" s="381"/>
      <c r="E3" s="29"/>
      <c r="F3" s="554" t="s">
        <v>275</v>
      </c>
      <c r="G3" s="29"/>
      <c r="H3" s="381"/>
      <c r="I3" s="381"/>
      <c r="J3" s="381"/>
      <c r="K3" s="381"/>
      <c r="L3" s="381"/>
      <c r="M3" s="381"/>
      <c r="N3" s="381"/>
    </row>
    <row r="4" spans="1:14">
      <c r="A4" s="68" t="s">
        <v>707</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254"/>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v>0</v>
      </c>
      <c r="G18" s="310">
        <v>0</v>
      </c>
      <c r="H18" s="310">
        <v>0</v>
      </c>
      <c r="I18" s="310">
        <v>0</v>
      </c>
      <c r="J18" s="310">
        <v>0</v>
      </c>
      <c r="K18" s="310">
        <v>0</v>
      </c>
      <c r="L18" s="310">
        <v>0</v>
      </c>
      <c r="M18" s="311">
        <v>0</v>
      </c>
      <c r="N18" s="327"/>
    </row>
    <row r="19" spans="1:14">
      <c r="A19" s="264" t="s">
        <v>355</v>
      </c>
      <c r="B19" s="264"/>
      <c r="C19" s="44">
        <v>253</v>
      </c>
      <c r="D19" s="45"/>
      <c r="E19" s="263">
        <v>0</v>
      </c>
      <c r="F19" s="357">
        <v>0</v>
      </c>
      <c r="G19" s="310">
        <v>0</v>
      </c>
      <c r="H19" s="310">
        <v>0</v>
      </c>
      <c r="I19" s="310">
        <v>0</v>
      </c>
      <c r="J19" s="310">
        <v>0</v>
      </c>
      <c r="K19" s="310">
        <v>0</v>
      </c>
      <c r="L19" s="310">
        <v>0</v>
      </c>
      <c r="M19" s="311">
        <v>0</v>
      </c>
      <c r="N19" s="326"/>
    </row>
    <row r="20" spans="1:14">
      <c r="A20" s="264" t="s">
        <v>355</v>
      </c>
      <c r="B20" s="264"/>
      <c r="C20" s="44">
        <v>253</v>
      </c>
      <c r="D20" s="267"/>
      <c r="E20" s="263">
        <v>0</v>
      </c>
      <c r="F20" s="357">
        <v>0</v>
      </c>
      <c r="G20" s="310">
        <v>0</v>
      </c>
      <c r="H20" s="310">
        <v>0</v>
      </c>
      <c r="I20" s="310">
        <v>0</v>
      </c>
      <c r="J20" s="310">
        <v>0</v>
      </c>
      <c r="K20" s="310">
        <v>0</v>
      </c>
      <c r="L20" s="310">
        <v>0</v>
      </c>
      <c r="M20" s="311">
        <v>0</v>
      </c>
      <c r="N20" s="355"/>
    </row>
    <row r="21" spans="1:14" s="7" customFormat="1">
      <c r="A21" s="264" t="s">
        <v>355</v>
      </c>
      <c r="B21" s="264"/>
      <c r="C21" s="44">
        <v>253</v>
      </c>
      <c r="D21" s="267"/>
      <c r="E21" s="263">
        <v>0</v>
      </c>
      <c r="F21" s="357">
        <v>0</v>
      </c>
      <c r="G21" s="310">
        <v>0</v>
      </c>
      <c r="H21" s="310">
        <v>0</v>
      </c>
      <c r="I21" s="310">
        <v>0</v>
      </c>
      <c r="J21" s="310">
        <v>0</v>
      </c>
      <c r="K21" s="310">
        <v>0</v>
      </c>
      <c r="L21" s="310">
        <v>0</v>
      </c>
      <c r="M21" s="311">
        <v>0</v>
      </c>
      <c r="N21" s="326"/>
    </row>
    <row r="22" spans="1:14">
      <c r="A22" s="40" t="s">
        <v>294</v>
      </c>
      <c r="B22" s="265"/>
      <c r="C22" s="266"/>
      <c r="D22" s="267">
        <f>SUM(D18:D21)</f>
        <v>0</v>
      </c>
      <c r="E22" s="42">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7"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v>0</v>
      </c>
      <c r="F24" s="309">
        <f>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ref="F25:F35" si="3">SUM(G25:M25)</f>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c r="A28" s="264" t="s">
        <v>304</v>
      </c>
      <c r="B28" s="36"/>
      <c r="C28" s="44">
        <v>251</v>
      </c>
      <c r="D28" s="45"/>
      <c r="E28" s="263">
        <v>0</v>
      </c>
      <c r="F28" s="309">
        <f t="shared" si="3"/>
        <v>0</v>
      </c>
      <c r="G28" s="310">
        <v>0</v>
      </c>
      <c r="H28" s="310">
        <v>0</v>
      </c>
      <c r="I28" s="310">
        <v>0</v>
      </c>
      <c r="J28" s="310">
        <v>0</v>
      </c>
      <c r="K28" s="310">
        <v>0</v>
      </c>
      <c r="L28" s="310">
        <v>0</v>
      </c>
      <c r="M28" s="311">
        <v>0</v>
      </c>
      <c r="N28" s="355"/>
    </row>
    <row r="29" spans="1:14">
      <c r="A29" s="264" t="s">
        <v>313</v>
      </c>
      <c r="B29" s="36"/>
      <c r="C29" s="44">
        <v>252</v>
      </c>
      <c r="D29" s="45"/>
      <c r="E29" s="263">
        <v>0</v>
      </c>
      <c r="F29" s="309">
        <f t="shared" si="3"/>
        <v>0</v>
      </c>
      <c r="G29" s="310">
        <v>0</v>
      </c>
      <c r="H29" s="310">
        <v>0</v>
      </c>
      <c r="I29" s="310">
        <v>0</v>
      </c>
      <c r="J29" s="310">
        <v>0</v>
      </c>
      <c r="K29" s="310">
        <v>0</v>
      </c>
      <c r="L29" s="310">
        <v>0</v>
      </c>
      <c r="M29" s="311">
        <v>0</v>
      </c>
      <c r="N29" s="355"/>
    </row>
    <row r="30" spans="1:14">
      <c r="A30" s="264" t="s">
        <v>314</v>
      </c>
      <c r="B30" s="36"/>
      <c r="C30" s="44">
        <v>252</v>
      </c>
      <c r="D30" s="45"/>
      <c r="E30" s="263">
        <v>0</v>
      </c>
      <c r="F30" s="309">
        <f t="shared" si="3"/>
        <v>0</v>
      </c>
      <c r="G30" s="310">
        <v>0</v>
      </c>
      <c r="H30" s="310">
        <v>0</v>
      </c>
      <c r="I30" s="310">
        <v>0</v>
      </c>
      <c r="J30" s="310">
        <v>0</v>
      </c>
      <c r="K30" s="310">
        <v>0</v>
      </c>
      <c r="L30" s="310">
        <v>0</v>
      </c>
      <c r="M30" s="311">
        <v>0</v>
      </c>
      <c r="N30" s="355"/>
    </row>
    <row r="31" spans="1:14">
      <c r="A31" s="264" t="s">
        <v>315</v>
      </c>
      <c r="B31" s="36"/>
      <c r="C31" s="44">
        <v>253</v>
      </c>
      <c r="D31" s="264"/>
      <c r="E31" s="263">
        <v>0</v>
      </c>
      <c r="F31" s="309">
        <f t="shared" si="3"/>
        <v>0</v>
      </c>
      <c r="G31" s="310">
        <v>0</v>
      </c>
      <c r="H31" s="310">
        <v>0</v>
      </c>
      <c r="I31" s="310">
        <v>0</v>
      </c>
      <c r="J31" s="310">
        <v>0</v>
      </c>
      <c r="K31" s="310">
        <v>0</v>
      </c>
      <c r="L31" s="310">
        <v>0</v>
      </c>
      <c r="M31" s="311">
        <v>0</v>
      </c>
      <c r="N31" s="355"/>
    </row>
    <row r="32" spans="1:14">
      <c r="A32" s="264" t="s">
        <v>316</v>
      </c>
      <c r="B32" s="36"/>
      <c r="C32" s="44">
        <v>255</v>
      </c>
      <c r="D32" s="264"/>
      <c r="E32" s="263">
        <v>0</v>
      </c>
      <c r="F32" s="309">
        <f t="shared" si="3"/>
        <v>0</v>
      </c>
      <c r="G32" s="310">
        <v>0</v>
      </c>
      <c r="H32" s="310">
        <v>0</v>
      </c>
      <c r="I32" s="310">
        <v>0</v>
      </c>
      <c r="J32" s="310">
        <v>0</v>
      </c>
      <c r="K32" s="310">
        <v>0</v>
      </c>
      <c r="L32" s="310">
        <v>0</v>
      </c>
      <c r="M32" s="311">
        <v>0</v>
      </c>
      <c r="N32" s="355"/>
    </row>
    <row r="33" spans="1:14">
      <c r="A33" s="264" t="s">
        <v>317</v>
      </c>
      <c r="B33" s="36"/>
      <c r="C33" s="44">
        <v>256</v>
      </c>
      <c r="D33" s="264"/>
      <c r="E33" s="263">
        <v>0</v>
      </c>
      <c r="F33" s="309">
        <f t="shared" si="3"/>
        <v>0</v>
      </c>
      <c r="G33" s="310">
        <v>0</v>
      </c>
      <c r="H33" s="310">
        <v>0</v>
      </c>
      <c r="I33" s="310">
        <v>0</v>
      </c>
      <c r="J33" s="310">
        <v>0</v>
      </c>
      <c r="K33" s="310">
        <v>0</v>
      </c>
      <c r="L33" s="310">
        <v>0</v>
      </c>
      <c r="M33" s="311">
        <v>0</v>
      </c>
      <c r="N33" s="355"/>
    </row>
    <row r="34" spans="1:14">
      <c r="A34" s="264" t="s">
        <v>318</v>
      </c>
      <c r="B34" s="36"/>
      <c r="C34" s="44">
        <v>257</v>
      </c>
      <c r="D34" s="264"/>
      <c r="E34" s="263">
        <v>239</v>
      </c>
      <c r="F34" s="309">
        <f t="shared" si="3"/>
        <v>242</v>
      </c>
      <c r="G34" s="310">
        <v>0</v>
      </c>
      <c r="H34" s="310">
        <v>242</v>
      </c>
      <c r="I34" s="310">
        <v>0</v>
      </c>
      <c r="J34" s="310">
        <v>0</v>
      </c>
      <c r="K34" s="310">
        <v>0</v>
      </c>
      <c r="L34" s="310">
        <v>0</v>
      </c>
      <c r="M34" s="311">
        <v>0</v>
      </c>
      <c r="N34" s="355"/>
    </row>
    <row r="35" spans="1:14">
      <c r="A35" s="264" t="s">
        <v>319</v>
      </c>
      <c r="B35" s="36"/>
      <c r="C35" s="44" t="s">
        <v>320</v>
      </c>
      <c r="D35" s="264"/>
      <c r="E35" s="263">
        <v>0</v>
      </c>
      <c r="F35" s="309">
        <f t="shared" si="3"/>
        <v>0</v>
      </c>
      <c r="G35" s="310">
        <v>0</v>
      </c>
      <c r="H35" s="310">
        <v>0</v>
      </c>
      <c r="I35" s="310">
        <v>0</v>
      </c>
      <c r="J35" s="310">
        <v>0</v>
      </c>
      <c r="K35" s="310">
        <v>0</v>
      </c>
      <c r="L35" s="310">
        <v>0</v>
      </c>
      <c r="M35" s="311">
        <v>0</v>
      </c>
      <c r="N35" s="355"/>
    </row>
    <row r="36" spans="1:14">
      <c r="A36" s="265" t="s">
        <v>321</v>
      </c>
      <c r="B36" s="36"/>
      <c r="C36" s="266" t="s">
        <v>322</v>
      </c>
      <c r="D36" s="265"/>
      <c r="E36" s="263">
        <v>0</v>
      </c>
      <c r="F36" s="309">
        <v>0</v>
      </c>
      <c r="G36" s="310">
        <v>0</v>
      </c>
      <c r="H36" s="310">
        <v>0</v>
      </c>
      <c r="I36" s="310">
        <v>0</v>
      </c>
      <c r="J36" s="310">
        <v>0</v>
      </c>
      <c r="K36" s="310">
        <v>0</v>
      </c>
      <c r="L36" s="310">
        <v>0</v>
      </c>
      <c r="M36" s="311">
        <v>0</v>
      </c>
      <c r="N36" s="355"/>
    </row>
    <row r="37" spans="1:14">
      <c r="A37" s="40" t="s">
        <v>326</v>
      </c>
      <c r="B37" s="265"/>
      <c r="C37" s="266"/>
      <c r="D37" s="267"/>
      <c r="E37" s="42">
        <f t="shared" ref="E37:M37" si="4">SUM(E24:E36)</f>
        <v>239</v>
      </c>
      <c r="F37" s="43">
        <f t="shared" si="4"/>
        <v>242</v>
      </c>
      <c r="G37" s="43">
        <f t="shared" si="4"/>
        <v>0</v>
      </c>
      <c r="H37" s="43">
        <f t="shared" si="4"/>
        <v>242</v>
      </c>
      <c r="I37" s="43">
        <f t="shared" si="4"/>
        <v>0</v>
      </c>
      <c r="J37" s="43">
        <f t="shared" si="4"/>
        <v>0</v>
      </c>
      <c r="K37" s="43">
        <f t="shared" si="4"/>
        <v>0</v>
      </c>
      <c r="L37" s="43">
        <f t="shared" si="4"/>
        <v>0</v>
      </c>
      <c r="M37" s="43">
        <f t="shared" si="4"/>
        <v>0</v>
      </c>
      <c r="N37" s="74"/>
    </row>
    <row r="38" spans="1:14" s="151" customFormat="1">
      <c r="A38" s="40" t="s">
        <v>327</v>
      </c>
      <c r="B38" s="51"/>
      <c r="C38" s="149"/>
      <c r="D38" s="267"/>
      <c r="E38" s="42"/>
      <c r="F38" s="240">
        <v>0</v>
      </c>
      <c r="G38" s="240"/>
      <c r="H38" s="240">
        <v>0</v>
      </c>
      <c r="I38" s="240"/>
      <c r="J38" s="240"/>
      <c r="K38" s="240"/>
      <c r="L38" s="240"/>
      <c r="M38" s="240"/>
      <c r="N38" s="355"/>
    </row>
    <row r="39" spans="1:14">
      <c r="A39" s="40" t="s">
        <v>328</v>
      </c>
      <c r="B39" s="46"/>
      <c r="C39" s="47"/>
      <c r="D39" s="75">
        <f>D37+D22+D16</f>
        <v>0</v>
      </c>
      <c r="E39" s="42">
        <f>E37+E22+E16-E38</f>
        <v>239</v>
      </c>
      <c r="F39" s="76">
        <f t="shared" ref="F39:M39" si="5">F37+F22+F16-F38</f>
        <v>242</v>
      </c>
      <c r="G39" s="76">
        <f t="shared" si="5"/>
        <v>0</v>
      </c>
      <c r="H39" s="76">
        <f t="shared" si="5"/>
        <v>242</v>
      </c>
      <c r="I39" s="76">
        <f t="shared" si="5"/>
        <v>0</v>
      </c>
      <c r="J39" s="76">
        <f t="shared" si="5"/>
        <v>0</v>
      </c>
      <c r="K39" s="76">
        <f t="shared" si="5"/>
        <v>0</v>
      </c>
      <c r="L39" s="76">
        <f t="shared" si="5"/>
        <v>0</v>
      </c>
      <c r="M39" s="76">
        <f t="shared" si="5"/>
        <v>0</v>
      </c>
      <c r="N39" s="77"/>
    </row>
    <row r="41" spans="1:14">
      <c r="A41" s="780" t="s">
        <v>569</v>
      </c>
      <c r="B41" s="781"/>
      <c r="C41" s="781"/>
      <c r="D41" s="781"/>
      <c r="E41" s="782"/>
      <c r="F41" s="309" t="s">
        <v>570</v>
      </c>
      <c r="G41" s="310" t="s">
        <v>0</v>
      </c>
      <c r="H41" s="310" t="s">
        <v>1</v>
      </c>
      <c r="I41" s="310" t="s">
        <v>2</v>
      </c>
      <c r="J41" s="310" t="s">
        <v>3</v>
      </c>
      <c r="K41" s="310" t="s">
        <v>4</v>
      </c>
      <c r="L41" s="310" t="s">
        <v>34</v>
      </c>
      <c r="M41" s="311"/>
      <c r="N41" s="355" t="s">
        <v>284</v>
      </c>
    </row>
    <row r="42" spans="1:14">
      <c r="A42" s="783" t="s">
        <v>571</v>
      </c>
      <c r="B42" s="784"/>
      <c r="C42" s="784"/>
      <c r="D42" s="785"/>
      <c r="E42" s="91"/>
      <c r="F42" s="88"/>
      <c r="G42" s="90"/>
      <c r="H42" s="90"/>
      <c r="I42" s="90"/>
      <c r="J42" s="90"/>
      <c r="K42" s="90"/>
      <c r="L42" s="90"/>
      <c r="M42" s="88"/>
      <c r="N42" s="89"/>
    </row>
    <row r="43" spans="1:14" ht="15.6" thickBot="1">
      <c r="A43" s="812" t="s">
        <v>572</v>
      </c>
      <c r="B43" s="813"/>
      <c r="C43" s="813"/>
      <c r="D43" s="814"/>
      <c r="E43" s="263"/>
      <c r="F43" s="309">
        <f>F39</f>
        <v>242</v>
      </c>
      <c r="G43" s="310">
        <f>$F43*G42</f>
        <v>0</v>
      </c>
      <c r="H43" s="310">
        <f>$F43*H42</f>
        <v>0</v>
      </c>
      <c r="I43" s="310">
        <v>87</v>
      </c>
      <c r="J43" s="310">
        <v>155</v>
      </c>
      <c r="K43" s="310">
        <f>ROUND($F43*H$21,0)</f>
        <v>0</v>
      </c>
      <c r="L43" s="310">
        <f>ROUND($F43*I$21,0)</f>
        <v>0</v>
      </c>
      <c r="M43" s="311">
        <f>ROUND($F43*J$21,0)</f>
        <v>0</v>
      </c>
      <c r="N43" s="355" t="s">
        <v>790</v>
      </c>
    </row>
    <row r="44" spans="1:14">
      <c r="A44" s="777" t="s">
        <v>573</v>
      </c>
      <c r="B44" s="778"/>
      <c r="C44" s="778"/>
      <c r="D44" s="779"/>
      <c r="E44" s="78"/>
      <c r="F44" s="79"/>
      <c r="G44" s="80">
        <f>G39-G43</f>
        <v>0</v>
      </c>
      <c r="H44" s="80">
        <f t="shared" ref="H44:M44" si="6">H39-H43</f>
        <v>242</v>
      </c>
      <c r="I44" s="80">
        <f t="shared" si="6"/>
        <v>-87</v>
      </c>
      <c r="J44" s="80">
        <f t="shared" si="6"/>
        <v>-155</v>
      </c>
      <c r="K44" s="80">
        <f t="shared" si="6"/>
        <v>0</v>
      </c>
      <c r="L44" s="80">
        <f t="shared" si="6"/>
        <v>0</v>
      </c>
      <c r="M44" s="81">
        <f t="shared" si="6"/>
        <v>0</v>
      </c>
      <c r="N44" s="82"/>
    </row>
    <row r="47" spans="1:14" s="381" customFormat="1" ht="15.6" thickBot="1">
      <c r="A47" s="31"/>
      <c r="B47" s="31"/>
      <c r="C47" s="32"/>
      <c r="D47" s="31"/>
      <c r="E47" s="31"/>
      <c r="F47" s="31"/>
      <c r="G47" s="31"/>
      <c r="H47" s="31"/>
      <c r="I47" s="31"/>
      <c r="J47" s="31"/>
      <c r="K47" s="31"/>
      <c r="L47" s="31"/>
      <c r="M47" s="31"/>
      <c r="N47" s="562"/>
    </row>
    <row r="48" spans="1:14" s="381" customFormat="1" ht="15.6">
      <c r="A48" s="764" t="s">
        <v>330</v>
      </c>
      <c r="B48" s="765"/>
      <c r="C48" s="765"/>
      <c r="D48" s="765"/>
      <c r="E48" s="765"/>
      <c r="F48" s="765"/>
      <c r="G48" s="581"/>
      <c r="H48" s="31"/>
      <c r="I48" s="31"/>
      <c r="J48" s="31"/>
      <c r="K48" s="31"/>
      <c r="L48" s="31"/>
      <c r="M48" s="31"/>
      <c r="N48" s="562"/>
    </row>
    <row r="49" spans="1:14" s="381" customFormat="1" ht="15.6">
      <c r="A49" s="738"/>
      <c r="B49" s="739"/>
      <c r="C49" s="739"/>
      <c r="D49" s="739"/>
      <c r="E49" s="739"/>
      <c r="F49" s="739"/>
      <c r="G49" s="582"/>
      <c r="H49" s="31"/>
      <c r="I49" s="31"/>
      <c r="J49" s="31"/>
      <c r="K49" s="31"/>
      <c r="L49" s="31"/>
      <c r="M49" s="31"/>
      <c r="N49" s="562"/>
    </row>
    <row r="50" spans="1:14" s="381" customFormat="1">
      <c r="A50" s="740" t="s">
        <v>331</v>
      </c>
      <c r="B50" s="741"/>
      <c r="C50" s="583"/>
      <c r="D50" s="583"/>
      <c r="E50" s="583"/>
      <c r="F50" s="583"/>
      <c r="G50" s="582"/>
      <c r="H50" s="31"/>
      <c r="I50" s="31"/>
      <c r="J50" s="31"/>
      <c r="K50" s="31"/>
      <c r="L50" s="31"/>
      <c r="M50" s="31"/>
      <c r="N50" s="562"/>
    </row>
    <row r="51" spans="1:14" s="381" customFormat="1">
      <c r="A51" s="584" t="s">
        <v>361</v>
      </c>
      <c r="B51" s="585">
        <f>E39</f>
        <v>239</v>
      </c>
      <c r="C51" s="586"/>
      <c r="D51" s="587"/>
      <c r="E51" s="587"/>
      <c r="F51" s="587"/>
      <c r="G51" s="582"/>
      <c r="H51" s="31"/>
      <c r="I51" s="31"/>
      <c r="J51" s="31"/>
      <c r="K51" s="31"/>
      <c r="L51" s="31"/>
      <c r="M51" s="31"/>
      <c r="N51" s="562"/>
    </row>
    <row r="52" spans="1:14" s="381" customFormat="1">
      <c r="A52" s="588" t="s">
        <v>362</v>
      </c>
      <c r="B52" s="589">
        <f>F39</f>
        <v>242</v>
      </c>
      <c r="C52" s="586"/>
      <c r="D52" s="587"/>
      <c r="E52" s="587"/>
      <c r="F52" s="587"/>
      <c r="G52" s="582"/>
      <c r="H52" s="31"/>
      <c r="I52" s="31"/>
      <c r="J52" s="31"/>
      <c r="K52" s="31"/>
      <c r="L52" s="31"/>
      <c r="M52" s="31"/>
      <c r="N52" s="562"/>
    </row>
    <row r="53" spans="1:14" s="381" customFormat="1">
      <c r="A53" s="590" t="s">
        <v>334</v>
      </c>
      <c r="B53" s="591">
        <f>B52-B51</f>
        <v>3</v>
      </c>
      <c r="C53" s="586"/>
      <c r="D53" s="587"/>
      <c r="E53" s="587"/>
      <c r="F53" s="587"/>
      <c r="G53" s="582"/>
      <c r="H53" s="31"/>
      <c r="I53" s="31"/>
      <c r="J53" s="31"/>
      <c r="K53" s="31"/>
      <c r="L53" s="31"/>
      <c r="M53" s="31"/>
      <c r="N53" s="562"/>
    </row>
    <row r="54" spans="1:14" s="381" customFormat="1">
      <c r="A54" s="590" t="s">
        <v>335</v>
      </c>
      <c r="B54" s="592">
        <f>B53/B51</f>
        <v>1.2552301255230125E-2</v>
      </c>
      <c r="C54" s="586"/>
      <c r="D54" s="587"/>
      <c r="E54" s="587"/>
      <c r="F54" s="587"/>
      <c r="G54" s="582"/>
      <c r="H54" s="31"/>
      <c r="I54" s="31"/>
      <c r="J54" s="31"/>
      <c r="K54" s="31"/>
      <c r="L54" s="31"/>
      <c r="M54" s="31"/>
      <c r="N54" s="562"/>
    </row>
    <row r="55" spans="1:14" s="381" customFormat="1">
      <c r="A55" s="593"/>
      <c r="B55" s="587"/>
      <c r="C55" s="686"/>
      <c r="D55" s="587"/>
      <c r="E55" s="587"/>
      <c r="F55" s="587"/>
      <c r="G55" s="582"/>
      <c r="H55" s="31"/>
      <c r="I55" s="31"/>
      <c r="J55" s="31"/>
      <c r="K55" s="31"/>
      <c r="L55" s="31"/>
      <c r="M55" s="31"/>
      <c r="N55" s="562"/>
    </row>
    <row r="56" spans="1:14" s="381" customFormat="1">
      <c r="A56" s="731" t="s">
        <v>336</v>
      </c>
      <c r="B56" s="732"/>
      <c r="C56" s="732"/>
      <c r="D56" s="732"/>
      <c r="E56" s="732"/>
      <c r="F56" s="732"/>
      <c r="G56" s="582"/>
      <c r="H56" s="31"/>
      <c r="I56" s="31"/>
      <c r="J56" s="31"/>
      <c r="K56" s="31"/>
      <c r="L56" s="31"/>
      <c r="M56" s="31"/>
      <c r="N56" s="562"/>
    </row>
    <row r="57" spans="1:14" s="381" customFormat="1" ht="32.700000000000003" customHeight="1">
      <c r="A57" s="742" t="s">
        <v>791</v>
      </c>
      <c r="B57" s="743"/>
      <c r="C57" s="743"/>
      <c r="D57" s="743"/>
      <c r="E57" s="743"/>
      <c r="F57" s="744"/>
      <c r="G57" s="582"/>
      <c r="H57" s="31"/>
      <c r="I57" s="31"/>
      <c r="J57" s="31"/>
      <c r="K57" s="31"/>
      <c r="L57" s="31"/>
      <c r="M57" s="31"/>
      <c r="N57" s="562"/>
    </row>
    <row r="58" spans="1:14" s="381" customFormat="1">
      <c r="A58" s="594"/>
      <c r="B58" s="595"/>
      <c r="C58" s="595"/>
      <c r="D58" s="595"/>
      <c r="E58" s="595"/>
      <c r="F58" s="595"/>
      <c r="G58" s="582"/>
      <c r="H58" s="31"/>
      <c r="I58" s="31"/>
      <c r="J58" s="31"/>
      <c r="K58" s="31"/>
      <c r="L58" s="31"/>
      <c r="M58" s="31"/>
      <c r="N58" s="562"/>
    </row>
    <row r="59" spans="1:14" s="381" customFormat="1">
      <c r="A59" s="596" t="s">
        <v>337</v>
      </c>
      <c r="B59" s="587"/>
      <c r="C59" s="686"/>
      <c r="D59" s="587"/>
      <c r="E59" s="587"/>
      <c r="F59" s="587"/>
      <c r="G59" s="582"/>
      <c r="H59" s="31"/>
      <c r="I59" s="31"/>
      <c r="J59" s="31"/>
      <c r="K59" s="31"/>
      <c r="L59" s="31"/>
      <c r="M59" s="31"/>
      <c r="N59" s="562"/>
    </row>
    <row r="60" spans="1:14" s="381" customFormat="1" ht="72.75" customHeight="1">
      <c r="A60" s="742" t="s">
        <v>792</v>
      </c>
      <c r="B60" s="743"/>
      <c r="C60" s="743"/>
      <c r="D60" s="743"/>
      <c r="E60" s="743"/>
      <c r="F60" s="744"/>
      <c r="G60" s="582"/>
      <c r="H60" s="31"/>
      <c r="I60" s="31"/>
      <c r="J60" s="31"/>
      <c r="K60" s="31"/>
      <c r="L60" s="31"/>
      <c r="M60" s="31"/>
      <c r="N60" s="562"/>
    </row>
    <row r="61" spans="1:14" s="381" customFormat="1">
      <c r="A61" s="593"/>
      <c r="B61" s="587"/>
      <c r="C61" s="686"/>
      <c r="D61" s="587"/>
      <c r="E61" s="587"/>
      <c r="F61" s="587"/>
      <c r="G61" s="582"/>
      <c r="H61" s="31"/>
      <c r="I61" s="31"/>
      <c r="J61" s="31"/>
      <c r="K61" s="31"/>
      <c r="L61" s="31"/>
      <c r="M61" s="31"/>
      <c r="N61" s="562"/>
    </row>
    <row r="62" spans="1:14" s="381" customFormat="1">
      <c r="A62" s="731" t="s">
        <v>365</v>
      </c>
      <c r="B62" s="732"/>
      <c r="C62" s="732"/>
      <c r="D62" s="732"/>
      <c r="E62" s="732"/>
      <c r="F62" s="732"/>
      <c r="G62" s="582"/>
      <c r="H62" s="31"/>
      <c r="I62" s="31"/>
      <c r="J62" s="31"/>
      <c r="K62" s="31"/>
      <c r="L62" s="31"/>
      <c r="M62" s="31"/>
      <c r="N62" s="562"/>
    </row>
    <row r="63" spans="1:14" s="381" customFormat="1">
      <c r="A63" s="733" t="s">
        <v>339</v>
      </c>
      <c r="B63" s="734"/>
      <c r="C63" s="734"/>
      <c r="D63" s="734"/>
      <c r="E63" s="734"/>
      <c r="F63" s="734"/>
      <c r="G63" s="582"/>
      <c r="H63" s="31"/>
      <c r="I63" s="31"/>
      <c r="J63" s="31"/>
      <c r="K63" s="31"/>
      <c r="L63" s="31"/>
      <c r="M63" s="31"/>
      <c r="N63" s="562"/>
    </row>
    <row r="64" spans="1:14" s="381" customFormat="1" ht="47.5" customHeight="1">
      <c r="A64" s="742" t="s">
        <v>793</v>
      </c>
      <c r="B64" s="743"/>
      <c r="C64" s="743"/>
      <c r="D64" s="743"/>
      <c r="E64" s="743"/>
      <c r="F64" s="744"/>
      <c r="G64" s="582"/>
      <c r="H64" s="31"/>
      <c r="I64" s="31"/>
      <c r="J64" s="31"/>
      <c r="K64" s="31"/>
      <c r="L64" s="31"/>
      <c r="M64" s="31"/>
      <c r="N64" s="562"/>
    </row>
    <row r="65" spans="1:14" s="381" customFormat="1">
      <c r="A65" s="596"/>
      <c r="B65" s="587"/>
      <c r="C65" s="686"/>
      <c r="D65" s="587"/>
      <c r="E65" s="587"/>
      <c r="F65" s="587"/>
      <c r="G65" s="582"/>
      <c r="H65" s="31"/>
      <c r="I65" s="31"/>
      <c r="J65" s="31"/>
      <c r="K65" s="31"/>
      <c r="L65" s="31"/>
      <c r="M65" s="31"/>
      <c r="N65" s="562"/>
    </row>
    <row r="66" spans="1:14" s="381" customFormat="1">
      <c r="A66" s="731" t="s">
        <v>340</v>
      </c>
      <c r="B66" s="732"/>
      <c r="C66" s="732"/>
      <c r="D66" s="732"/>
      <c r="E66" s="732"/>
      <c r="F66" s="587"/>
      <c r="G66" s="582"/>
      <c r="H66" s="31"/>
      <c r="I66" s="31"/>
      <c r="J66" s="31"/>
      <c r="K66" s="31"/>
      <c r="L66" s="31"/>
      <c r="M66" s="31"/>
      <c r="N66" s="562"/>
    </row>
    <row r="67" spans="1:14" s="381" customFormat="1" ht="23.95" customHeight="1">
      <c r="A67" s="728" t="s">
        <v>794</v>
      </c>
      <c r="B67" s="729"/>
      <c r="C67" s="729"/>
      <c r="D67" s="729"/>
      <c r="E67" s="729"/>
      <c r="F67" s="730"/>
      <c r="G67" s="582"/>
      <c r="H67" s="31"/>
      <c r="I67" s="31"/>
      <c r="J67" s="31"/>
      <c r="K67" s="31"/>
      <c r="L67" s="31"/>
      <c r="M67" s="31"/>
      <c r="N67" s="562"/>
    </row>
    <row r="68" spans="1:14" s="381" customFormat="1">
      <c r="A68" s="593"/>
      <c r="B68" s="587"/>
      <c r="C68" s="686"/>
      <c r="D68" s="587"/>
      <c r="E68" s="587"/>
      <c r="F68" s="587"/>
      <c r="G68" s="582"/>
      <c r="H68" s="31"/>
      <c r="I68" s="31"/>
      <c r="J68" s="31"/>
      <c r="K68" s="31"/>
      <c r="L68" s="31"/>
      <c r="M68" s="31"/>
      <c r="N68" s="562"/>
    </row>
    <row r="69" spans="1:14" s="381" customFormat="1">
      <c r="A69" s="596" t="s">
        <v>341</v>
      </c>
      <c r="B69" s="587"/>
      <c r="C69" s="686"/>
      <c r="D69" s="587"/>
      <c r="E69" s="587"/>
      <c r="F69" s="587"/>
      <c r="G69" s="582"/>
      <c r="H69" s="31"/>
      <c r="I69" s="31"/>
      <c r="J69" s="31"/>
      <c r="K69" s="31"/>
      <c r="L69" s="31"/>
      <c r="M69" s="31"/>
      <c r="N69" s="562"/>
    </row>
    <row r="70" spans="1:14" s="381" customFormat="1">
      <c r="A70" s="597" t="s">
        <v>342</v>
      </c>
      <c r="B70" s="587"/>
      <c r="C70" s="686"/>
      <c r="D70" s="587"/>
      <c r="E70" s="587"/>
      <c r="F70" s="587"/>
      <c r="G70" s="582"/>
      <c r="H70" s="31"/>
      <c r="I70" s="31"/>
      <c r="J70" s="31"/>
      <c r="K70" s="31"/>
      <c r="L70" s="31"/>
      <c r="M70" s="31"/>
      <c r="N70" s="562"/>
    </row>
    <row r="71" spans="1:14" s="381" customFormat="1" ht="26.2" customHeight="1">
      <c r="A71" s="719" t="s">
        <v>795</v>
      </c>
      <c r="B71" s="720"/>
      <c r="C71" s="720"/>
      <c r="D71" s="720"/>
      <c r="E71" s="720"/>
      <c r="F71" s="720"/>
      <c r="G71" s="582"/>
      <c r="H71" s="31"/>
      <c r="I71" s="31"/>
      <c r="J71" s="31"/>
      <c r="K71" s="31"/>
      <c r="L71" s="31"/>
      <c r="M71" s="31"/>
      <c r="N71" s="562"/>
    </row>
    <row r="72" spans="1:14" s="381" customFormat="1" ht="42.35" customHeight="1">
      <c r="A72" s="742" t="s">
        <v>796</v>
      </c>
      <c r="B72" s="743"/>
      <c r="C72" s="743"/>
      <c r="D72" s="743"/>
      <c r="E72" s="743"/>
      <c r="F72" s="744"/>
      <c r="G72" s="582"/>
      <c r="H72" s="31"/>
      <c r="I72" s="31"/>
      <c r="J72" s="31"/>
      <c r="K72" s="31"/>
      <c r="L72" s="31"/>
      <c r="M72" s="31"/>
      <c r="N72" s="562"/>
    </row>
    <row r="73" spans="1:14" s="381" customFormat="1">
      <c r="A73" s="724"/>
      <c r="B73" s="725"/>
      <c r="C73" s="725"/>
      <c r="D73" s="725"/>
      <c r="E73" s="725"/>
      <c r="F73" s="725"/>
      <c r="G73" s="582"/>
      <c r="H73" s="31"/>
      <c r="I73" s="31"/>
      <c r="J73" s="31"/>
      <c r="K73" s="31"/>
      <c r="L73" s="31"/>
      <c r="M73" s="31"/>
      <c r="N73" s="562"/>
    </row>
    <row r="74" spans="1:14" s="381" customFormat="1">
      <c r="A74" s="597" t="s">
        <v>344</v>
      </c>
      <c r="B74" s="587"/>
      <c r="C74" s="686"/>
      <c r="D74" s="587"/>
      <c r="E74" s="587"/>
      <c r="F74" s="587"/>
      <c r="G74" s="582"/>
      <c r="H74" s="31"/>
      <c r="I74" s="31"/>
      <c r="J74" s="31"/>
      <c r="K74" s="31"/>
      <c r="L74" s="31"/>
      <c r="M74" s="31"/>
      <c r="N74" s="562"/>
    </row>
    <row r="75" spans="1:14" s="381" customFormat="1" ht="28.8" customHeight="1">
      <c r="A75" s="726" t="s">
        <v>345</v>
      </c>
      <c r="B75" s="727"/>
      <c r="C75" s="727"/>
      <c r="D75" s="727"/>
      <c r="E75" s="727"/>
      <c r="F75" s="727"/>
      <c r="G75" s="582"/>
      <c r="H75" s="31"/>
      <c r="I75" s="31"/>
      <c r="J75" s="31"/>
      <c r="K75" s="31"/>
      <c r="L75" s="31"/>
      <c r="M75" s="31"/>
      <c r="N75" s="562"/>
    </row>
    <row r="76" spans="1:14" s="381" customFormat="1" ht="30.8" customHeight="1">
      <c r="A76" s="728"/>
      <c r="B76" s="729"/>
      <c r="C76" s="729"/>
      <c r="D76" s="729"/>
      <c r="E76" s="729"/>
      <c r="F76" s="730"/>
      <c r="G76" s="582"/>
      <c r="H76" s="31"/>
      <c r="I76" s="31"/>
      <c r="J76" s="31"/>
      <c r="K76" s="31"/>
      <c r="L76" s="31"/>
      <c r="M76" s="31"/>
      <c r="N76" s="562"/>
    </row>
    <row r="77" spans="1:14" s="381" customFormat="1" ht="15.6" thickBot="1">
      <c r="A77" s="598"/>
      <c r="B77" s="599"/>
      <c r="C77" s="600"/>
      <c r="D77" s="599"/>
      <c r="E77" s="599"/>
      <c r="F77" s="599"/>
      <c r="G77" s="601"/>
      <c r="H77" s="31"/>
      <c r="I77" s="31"/>
      <c r="J77" s="31"/>
      <c r="K77" s="31"/>
      <c r="L77" s="31"/>
      <c r="M77" s="31"/>
      <c r="N77" s="562"/>
    </row>
    <row r="78" spans="1:14" s="381" customFormat="1">
      <c r="A78" s="31"/>
      <c r="B78" s="31"/>
      <c r="C78" s="32"/>
      <c r="D78" s="31"/>
      <c r="E78" s="31"/>
      <c r="F78" s="31"/>
      <c r="G78" s="31"/>
      <c r="H78" s="31"/>
      <c r="I78" s="31"/>
      <c r="J78" s="31"/>
      <c r="K78" s="31"/>
      <c r="L78" s="31"/>
      <c r="M78" s="31"/>
      <c r="N78" s="562"/>
    </row>
  </sheetData>
  <mergeCells count="21">
    <mergeCell ref="A44:D44"/>
    <mergeCell ref="A1:N1"/>
    <mergeCell ref="A41:E41"/>
    <mergeCell ref="A42:D42"/>
    <mergeCell ref="A43:D43"/>
    <mergeCell ref="A48:F48"/>
    <mergeCell ref="A49:F49"/>
    <mergeCell ref="A50:B50"/>
    <mergeCell ref="A56:F56"/>
    <mergeCell ref="A57:F57"/>
    <mergeCell ref="A60:F60"/>
    <mergeCell ref="A62:F62"/>
    <mergeCell ref="A63:F63"/>
    <mergeCell ref="A64:F64"/>
    <mergeCell ref="A66:E66"/>
    <mergeCell ref="A76:F76"/>
    <mergeCell ref="A67:F67"/>
    <mergeCell ref="A71:F71"/>
    <mergeCell ref="A72:F72"/>
    <mergeCell ref="A73:F73"/>
    <mergeCell ref="A75:F75"/>
  </mergeCells>
  <printOptions horizontalCentered="1"/>
  <pageMargins left="0.2" right="0.2" top="0.75" bottom="0.75" header="0.3" footer="0.3"/>
  <pageSetup scale="70" fitToHeight="0" orientation="landscape" r:id="rId1"/>
  <headerFooter>
    <oddHeader xml:space="preserve">&amp;CDRAFT NOT FOR DISTRIBUTION, INTERNAL USE ONLY
</oddHead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39997558519241921"/>
  </sheetPr>
  <dimension ref="A1:N86"/>
  <sheetViews>
    <sheetView workbookViewId="0">
      <selection sqref="A1:N1"/>
    </sheetView>
  </sheetViews>
  <sheetFormatPr defaultColWidth="8.85546875" defaultRowHeight="14.85"/>
  <cols>
    <col min="1" max="1" width="39.5703125" style="381" customWidth="1"/>
    <col min="2" max="2" width="16" style="381" customWidth="1"/>
    <col min="3" max="3" width="7.7109375" style="519" customWidth="1"/>
    <col min="4" max="4" width="20" style="381" customWidth="1"/>
    <col min="5" max="5" width="10.7109375" style="381" customWidth="1"/>
    <col min="6" max="6" width="11" style="381" customWidth="1"/>
    <col min="7" max="7" width="9.5703125" style="381" customWidth="1"/>
    <col min="8" max="8" width="10" style="381" customWidth="1"/>
    <col min="9" max="10" width="7.140625" style="381" customWidth="1"/>
    <col min="11" max="11" width="7.7109375" style="381" customWidth="1"/>
    <col min="12" max="12" width="9.7109375" style="381" customWidth="1"/>
    <col min="13" max="13" width="10.5703125" style="381" bestFit="1" customWidth="1"/>
    <col min="14" max="14" width="38.7109375" style="381" bestFit="1" customWidth="1"/>
    <col min="15" max="16384" width="8.85546875" style="381"/>
  </cols>
  <sheetData>
    <row r="1" spans="1:14" ht="15.6">
      <c r="A1" s="745" t="s">
        <v>623</v>
      </c>
      <c r="B1" s="745"/>
      <c r="C1" s="745"/>
      <c r="D1" s="745"/>
      <c r="E1" s="745"/>
      <c r="F1" s="745"/>
      <c r="G1" s="745"/>
      <c r="H1" s="745"/>
      <c r="I1" s="745"/>
      <c r="J1" s="745"/>
      <c r="K1" s="745"/>
      <c r="L1" s="745"/>
      <c r="M1" s="745"/>
      <c r="N1" s="745"/>
    </row>
    <row r="2" spans="1:14">
      <c r="A2" s="65" t="s">
        <v>797</v>
      </c>
      <c r="C2" s="687"/>
    </row>
    <row r="3" spans="1:14">
      <c r="A3" s="68" t="s">
        <v>798</v>
      </c>
      <c r="C3" s="687"/>
      <c r="F3" s="634" t="s">
        <v>275</v>
      </c>
      <c r="G3" s="29"/>
      <c r="H3" s="29"/>
    </row>
    <row r="4" spans="1:14">
      <c r="A4" s="68" t="s">
        <v>799</v>
      </c>
      <c r="C4" s="687"/>
    </row>
    <row r="5" spans="1:14">
      <c r="A5" s="31"/>
      <c r="B5" s="31"/>
      <c r="C5" s="32"/>
      <c r="D5" s="31"/>
      <c r="E5" s="31"/>
    </row>
    <row r="6" spans="1:14" ht="29.7">
      <c r="A6" s="33"/>
      <c r="B6" s="33" t="s">
        <v>277</v>
      </c>
      <c r="C6" s="1" t="s">
        <v>278</v>
      </c>
      <c r="D6" s="2" t="s">
        <v>350</v>
      </c>
      <c r="E6" s="34" t="s">
        <v>280</v>
      </c>
      <c r="F6" s="35" t="s">
        <v>282</v>
      </c>
      <c r="G6" s="35" t="s">
        <v>0</v>
      </c>
      <c r="H6" s="35" t="s">
        <v>1</v>
      </c>
      <c r="I6" s="35" t="s">
        <v>2</v>
      </c>
      <c r="J6" s="35" t="s">
        <v>3</v>
      </c>
      <c r="K6" s="35" t="s">
        <v>4</v>
      </c>
      <c r="L6" s="35" t="s">
        <v>34</v>
      </c>
      <c r="M6" s="2" t="s">
        <v>283</v>
      </c>
      <c r="N6" s="35" t="s">
        <v>284</v>
      </c>
    </row>
    <row r="7" spans="1:14">
      <c r="A7" s="69" t="s">
        <v>285</v>
      </c>
      <c r="B7" s="70"/>
      <c r="C7" s="71"/>
      <c r="D7" s="70"/>
      <c r="E7" s="70"/>
      <c r="F7" s="72"/>
      <c r="G7" s="72"/>
      <c r="H7" s="72"/>
      <c r="I7" s="72"/>
      <c r="J7" s="72"/>
      <c r="K7" s="72"/>
      <c r="L7" s="72"/>
      <c r="M7" s="72"/>
      <c r="N7" s="72"/>
    </row>
    <row r="8" spans="1:14" ht="15.05" customHeight="1">
      <c r="A8" s="36" t="s">
        <v>286</v>
      </c>
      <c r="B8" s="36"/>
      <c r="C8" s="37" t="s">
        <v>287</v>
      </c>
      <c r="D8" s="39"/>
      <c r="E8" s="263">
        <v>0</v>
      </c>
      <c r="F8" s="309">
        <f>SUM(G8:M8)</f>
        <v>0</v>
      </c>
      <c r="G8" s="310">
        <v>0</v>
      </c>
      <c r="H8" s="310">
        <v>0</v>
      </c>
      <c r="I8" s="310">
        <v>0</v>
      </c>
      <c r="J8" s="310">
        <v>0</v>
      </c>
      <c r="K8" s="310">
        <v>0</v>
      </c>
      <c r="L8" s="310">
        <v>0</v>
      </c>
      <c r="M8" s="311">
        <v>0</v>
      </c>
      <c r="N8" s="355"/>
    </row>
    <row r="9" spans="1:14" ht="15.05" customHeight="1">
      <c r="A9" s="36" t="s">
        <v>286</v>
      </c>
      <c r="B9" s="264"/>
      <c r="C9" s="37" t="s">
        <v>287</v>
      </c>
      <c r="D9" s="39"/>
      <c r="E9" s="263">
        <v>0</v>
      </c>
      <c r="F9" s="309">
        <f>SUM(G9:M9)</f>
        <v>0</v>
      </c>
      <c r="G9" s="310">
        <v>0</v>
      </c>
      <c r="H9" s="310">
        <v>0</v>
      </c>
      <c r="I9" s="310">
        <v>0</v>
      </c>
      <c r="J9" s="310">
        <v>0</v>
      </c>
      <c r="K9" s="310">
        <v>0</v>
      </c>
      <c r="L9" s="310">
        <v>0</v>
      </c>
      <c r="M9" s="311">
        <v>0</v>
      </c>
      <c r="N9" s="355"/>
    </row>
    <row r="10" spans="1:14">
      <c r="A10" s="36" t="s">
        <v>286</v>
      </c>
      <c r="B10" s="264"/>
      <c r="C10" s="37" t="s">
        <v>287</v>
      </c>
      <c r="D10" s="39"/>
      <c r="E10" s="263">
        <v>0</v>
      </c>
      <c r="F10" s="309">
        <f>SUM(G10:M10)</f>
        <v>0</v>
      </c>
      <c r="G10" s="310">
        <v>0</v>
      </c>
      <c r="H10" s="310">
        <v>0</v>
      </c>
      <c r="I10" s="310">
        <v>0</v>
      </c>
      <c r="J10" s="310">
        <v>0</v>
      </c>
      <c r="K10" s="310">
        <v>0</v>
      </c>
      <c r="L10" s="310">
        <v>0</v>
      </c>
      <c r="M10" s="311">
        <v>0</v>
      </c>
      <c r="N10" s="355"/>
    </row>
    <row r="11" spans="1:14">
      <c r="A11" s="36" t="s">
        <v>286</v>
      </c>
      <c r="B11" s="264"/>
      <c r="C11" s="37" t="s">
        <v>287</v>
      </c>
      <c r="D11" s="39"/>
      <c r="E11" s="263">
        <v>0</v>
      </c>
      <c r="F11" s="309">
        <f>SUM(G11:M11)</f>
        <v>0</v>
      </c>
      <c r="G11" s="310">
        <v>0</v>
      </c>
      <c r="H11" s="310">
        <v>0</v>
      </c>
      <c r="I11" s="310">
        <v>0</v>
      </c>
      <c r="J11" s="310">
        <v>0</v>
      </c>
      <c r="K11" s="310">
        <v>0</v>
      </c>
      <c r="L11" s="310">
        <v>0</v>
      </c>
      <c r="M11" s="311">
        <v>0</v>
      </c>
      <c r="N11" s="355"/>
    </row>
    <row r="12" spans="1:14">
      <c r="A12" s="36" t="s">
        <v>286</v>
      </c>
      <c r="B12" s="265"/>
      <c r="C12" s="37" t="s">
        <v>287</v>
      </c>
      <c r="D12" s="39"/>
      <c r="E12" s="263">
        <v>0</v>
      </c>
      <c r="F12" s="309">
        <f>SUM(G12:M12)</f>
        <v>0</v>
      </c>
      <c r="G12" s="310">
        <v>0</v>
      </c>
      <c r="H12" s="310">
        <v>0</v>
      </c>
      <c r="I12" s="310">
        <v>0</v>
      </c>
      <c r="J12" s="310">
        <v>0</v>
      </c>
      <c r="K12" s="310">
        <v>0</v>
      </c>
      <c r="L12" s="310">
        <v>0</v>
      </c>
      <c r="M12" s="311">
        <v>0</v>
      </c>
      <c r="N12" s="355"/>
    </row>
    <row r="13" spans="1:14">
      <c r="A13" s="40" t="s">
        <v>288</v>
      </c>
      <c r="B13" s="265"/>
      <c r="C13" s="266"/>
      <c r="D13" s="41">
        <f t="shared" ref="D13:M13" si="0">SUM(D8:D12)</f>
        <v>0</v>
      </c>
      <c r="E13" s="42">
        <f t="shared" si="0"/>
        <v>0</v>
      </c>
      <c r="F13" s="43">
        <f t="shared" si="0"/>
        <v>0</v>
      </c>
      <c r="G13" s="43">
        <f t="shared" si="0"/>
        <v>0</v>
      </c>
      <c r="H13" s="43">
        <f t="shared" si="0"/>
        <v>0</v>
      </c>
      <c r="I13" s="43">
        <f t="shared" si="0"/>
        <v>0</v>
      </c>
      <c r="J13" s="43">
        <f t="shared" si="0"/>
        <v>0</v>
      </c>
      <c r="K13" s="43">
        <f t="shared" si="0"/>
        <v>0</v>
      </c>
      <c r="L13" s="43">
        <f t="shared" si="0"/>
        <v>0</v>
      </c>
      <c r="M13" s="43">
        <f t="shared" si="0"/>
        <v>0</v>
      </c>
      <c r="N13" s="355"/>
    </row>
    <row r="14" spans="1:14">
      <c r="A14" s="69" t="s">
        <v>289</v>
      </c>
      <c r="B14" s="70"/>
      <c r="C14" s="71"/>
      <c r="D14" s="70"/>
      <c r="E14" s="70"/>
      <c r="F14" s="72"/>
      <c r="G14" s="72"/>
      <c r="H14" s="72"/>
      <c r="I14" s="72"/>
      <c r="J14" s="72"/>
      <c r="K14" s="72"/>
      <c r="L14" s="72"/>
      <c r="M14" s="72"/>
      <c r="N14" s="72"/>
    </row>
    <row r="15" spans="1:14" ht="103.95">
      <c r="A15" s="264" t="s">
        <v>800</v>
      </c>
      <c r="B15" s="264" t="s">
        <v>801</v>
      </c>
      <c r="C15" s="44">
        <v>253</v>
      </c>
      <c r="D15" s="45"/>
      <c r="E15" s="263">
        <v>1222</v>
      </c>
      <c r="F15" s="357">
        <f>SUM(G15:M15)</f>
        <v>811</v>
      </c>
      <c r="G15" s="310">
        <v>11</v>
      </c>
      <c r="H15" s="310">
        <v>100</v>
      </c>
      <c r="I15" s="310">
        <v>20</v>
      </c>
      <c r="J15" s="310">
        <v>36</v>
      </c>
      <c r="K15" s="310">
        <v>0</v>
      </c>
      <c r="L15" s="310">
        <v>0</v>
      </c>
      <c r="M15" s="311">
        <v>644</v>
      </c>
      <c r="N15" s="694" t="s">
        <v>1321</v>
      </c>
    </row>
    <row r="16" spans="1:14" ht="118.8">
      <c r="A16" s="563" t="s">
        <v>800</v>
      </c>
      <c r="B16" s="264" t="s">
        <v>801</v>
      </c>
      <c r="C16" s="44">
        <v>253</v>
      </c>
      <c r="D16" s="45"/>
      <c r="E16" s="263">
        <v>24</v>
      </c>
      <c r="F16" s="357">
        <f>SUM(G16:M16)</f>
        <v>261</v>
      </c>
      <c r="G16" s="310">
        <v>4</v>
      </c>
      <c r="H16" s="310">
        <v>32</v>
      </c>
      <c r="I16" s="310">
        <v>6</v>
      </c>
      <c r="J16" s="310">
        <v>12</v>
      </c>
      <c r="K16" s="310">
        <v>0</v>
      </c>
      <c r="L16" s="310">
        <v>0</v>
      </c>
      <c r="M16" s="311">
        <v>207</v>
      </c>
      <c r="N16" s="694" t="s">
        <v>1322</v>
      </c>
    </row>
    <row r="17" spans="1:14" ht="59.4">
      <c r="A17" s="563" t="s">
        <v>800</v>
      </c>
      <c r="B17" s="264" t="s">
        <v>801</v>
      </c>
      <c r="C17" s="44">
        <v>253</v>
      </c>
      <c r="D17" s="267"/>
      <c r="E17" s="263">
        <v>30</v>
      </c>
      <c r="F17" s="357">
        <f>SUM(G17:M17)</f>
        <v>30</v>
      </c>
      <c r="G17" s="310">
        <v>0</v>
      </c>
      <c r="H17" s="310">
        <v>0</v>
      </c>
      <c r="I17" s="310">
        <v>0</v>
      </c>
      <c r="J17" s="310">
        <v>0</v>
      </c>
      <c r="K17" s="310">
        <v>0</v>
      </c>
      <c r="L17" s="310">
        <v>0</v>
      </c>
      <c r="M17" s="311">
        <v>30</v>
      </c>
      <c r="N17" s="325" t="s">
        <v>802</v>
      </c>
    </row>
    <row r="18" spans="1:14" ht="44.55">
      <c r="A18" s="661" t="s">
        <v>800</v>
      </c>
      <c r="B18" s="555" t="s">
        <v>801</v>
      </c>
      <c r="C18" s="628">
        <v>253</v>
      </c>
      <c r="D18" s="267"/>
      <c r="E18" s="263">
        <v>0</v>
      </c>
      <c r="F18" s="357">
        <f>SUM(G18:M18)</f>
        <v>3</v>
      </c>
      <c r="G18" s="310">
        <v>0</v>
      </c>
      <c r="H18" s="310">
        <v>1</v>
      </c>
      <c r="I18" s="310">
        <v>0</v>
      </c>
      <c r="J18" s="310">
        <v>1</v>
      </c>
      <c r="K18" s="310">
        <v>0</v>
      </c>
      <c r="L18" s="310">
        <v>0</v>
      </c>
      <c r="M18" s="311">
        <v>1</v>
      </c>
      <c r="N18" s="325" t="s">
        <v>803</v>
      </c>
    </row>
    <row r="19" spans="1:14" ht="29.7">
      <c r="A19" s="661" t="s">
        <v>800</v>
      </c>
      <c r="B19" s="555" t="s">
        <v>801</v>
      </c>
      <c r="C19" s="628">
        <v>253</v>
      </c>
      <c r="D19" s="267"/>
      <c r="E19" s="263">
        <v>0</v>
      </c>
      <c r="F19" s="357">
        <f t="shared" ref="F19" si="1">SUM(G19:M19)</f>
        <v>9</v>
      </c>
      <c r="G19" s="310">
        <v>1</v>
      </c>
      <c r="H19" s="310">
        <v>1</v>
      </c>
      <c r="I19" s="310">
        <v>1</v>
      </c>
      <c r="J19" s="310">
        <v>1</v>
      </c>
      <c r="K19" s="310">
        <f>9-9</f>
        <v>0</v>
      </c>
      <c r="L19" s="310">
        <v>0</v>
      </c>
      <c r="M19" s="311">
        <v>5</v>
      </c>
      <c r="N19" s="327" t="s">
        <v>1323</v>
      </c>
    </row>
    <row r="20" spans="1:14" ht="29.7">
      <c r="A20" s="661" t="s">
        <v>800</v>
      </c>
      <c r="B20" s="555" t="s">
        <v>801</v>
      </c>
      <c r="C20" s="628">
        <v>253</v>
      </c>
      <c r="D20" s="267"/>
      <c r="E20" s="263">
        <v>0</v>
      </c>
      <c r="F20" s="357">
        <f t="shared" ref="F20:F22" si="2">SUM(G20:M20)</f>
        <v>32</v>
      </c>
      <c r="G20" s="310">
        <v>2</v>
      </c>
      <c r="H20" s="310">
        <v>13</v>
      </c>
      <c r="I20" s="310">
        <v>2</v>
      </c>
      <c r="J20" s="310">
        <v>3</v>
      </c>
      <c r="K20" s="310">
        <v>0</v>
      </c>
      <c r="L20" s="310">
        <v>0</v>
      </c>
      <c r="M20" s="311">
        <v>12</v>
      </c>
      <c r="N20" s="327" t="s">
        <v>1324</v>
      </c>
    </row>
    <row r="21" spans="1:14">
      <c r="A21" s="661" t="s">
        <v>800</v>
      </c>
      <c r="B21" s="555" t="s">
        <v>801</v>
      </c>
      <c r="C21" s="628">
        <v>253</v>
      </c>
      <c r="D21" s="267"/>
      <c r="E21" s="263">
        <v>0</v>
      </c>
      <c r="F21" s="357">
        <f t="shared" si="2"/>
        <v>19</v>
      </c>
      <c r="G21" s="310">
        <v>2</v>
      </c>
      <c r="H21" s="310">
        <v>6</v>
      </c>
      <c r="I21" s="310">
        <v>2</v>
      </c>
      <c r="J21" s="310">
        <v>3</v>
      </c>
      <c r="K21" s="310">
        <v>0</v>
      </c>
      <c r="L21" s="310">
        <v>0</v>
      </c>
      <c r="M21" s="311">
        <v>6</v>
      </c>
      <c r="N21" s="327" t="s">
        <v>1318</v>
      </c>
    </row>
    <row r="22" spans="1:14" ht="29.7">
      <c r="A22" s="661" t="s">
        <v>800</v>
      </c>
      <c r="B22" s="555" t="s">
        <v>801</v>
      </c>
      <c r="C22" s="628">
        <v>253</v>
      </c>
      <c r="D22" s="267"/>
      <c r="E22" s="263">
        <v>0</v>
      </c>
      <c r="F22" s="357">
        <f t="shared" si="2"/>
        <v>10</v>
      </c>
      <c r="G22" s="310">
        <v>1</v>
      </c>
      <c r="H22" s="310">
        <v>2</v>
      </c>
      <c r="I22" s="310">
        <v>1</v>
      </c>
      <c r="J22" s="310">
        <v>1</v>
      </c>
      <c r="K22" s="310">
        <v>0</v>
      </c>
      <c r="L22" s="310">
        <v>0</v>
      </c>
      <c r="M22" s="311">
        <v>5</v>
      </c>
      <c r="N22" s="327" t="s">
        <v>1319</v>
      </c>
    </row>
    <row r="23" spans="1:14" s="358" customFormat="1" ht="170" customHeight="1">
      <c r="A23" s="555" t="s">
        <v>800</v>
      </c>
      <c r="B23" s="555" t="s">
        <v>801</v>
      </c>
      <c r="C23" s="44">
        <v>253</v>
      </c>
      <c r="D23" s="267"/>
      <c r="E23" s="263">
        <v>564</v>
      </c>
      <c r="F23" s="357">
        <f>SUM(G23:M23)</f>
        <v>740</v>
      </c>
      <c r="G23" s="310">
        <v>0</v>
      </c>
      <c r="H23" s="310">
        <v>0</v>
      </c>
      <c r="I23" s="310">
        <v>0</v>
      </c>
      <c r="J23" s="310">
        <v>0</v>
      </c>
      <c r="K23" s="310">
        <v>740</v>
      </c>
      <c r="L23" s="310">
        <v>0</v>
      </c>
      <c r="M23" s="311">
        <v>0</v>
      </c>
      <c r="N23" s="662" t="s">
        <v>1325</v>
      </c>
    </row>
    <row r="24" spans="1:14">
      <c r="A24" s="40" t="s">
        <v>294</v>
      </c>
      <c r="B24" s="265"/>
      <c r="C24" s="266"/>
      <c r="D24" s="267">
        <f>SUM(D15:D23)</f>
        <v>0</v>
      </c>
      <c r="E24" s="42">
        <f>SUM(E15:E23)-E23</f>
        <v>1276</v>
      </c>
      <c r="F24" s="43">
        <f>SUM(F15:F23)-F23</f>
        <v>1175</v>
      </c>
      <c r="G24" s="43">
        <f t="shared" ref="G24:M24" si="3">SUM(G15:G23)</f>
        <v>21</v>
      </c>
      <c r="H24" s="43">
        <f t="shared" si="3"/>
        <v>155</v>
      </c>
      <c r="I24" s="43">
        <f t="shared" si="3"/>
        <v>32</v>
      </c>
      <c r="J24" s="43">
        <f t="shared" si="3"/>
        <v>57</v>
      </c>
      <c r="K24" s="43">
        <f>SUM(K15:K23)-K23</f>
        <v>0</v>
      </c>
      <c r="L24" s="43">
        <f t="shared" si="3"/>
        <v>0</v>
      </c>
      <c r="M24" s="43">
        <f t="shared" si="3"/>
        <v>910</v>
      </c>
      <c r="N24" s="355"/>
    </row>
    <row r="25" spans="1:14" s="358" customFormat="1">
      <c r="A25" s="127" t="s">
        <v>295</v>
      </c>
      <c r="B25" s="128"/>
      <c r="C25" s="128"/>
      <c r="D25" s="128"/>
      <c r="E25" s="89"/>
      <c r="F25" s="89"/>
      <c r="G25" s="89"/>
      <c r="H25" s="89"/>
      <c r="I25" s="89"/>
      <c r="J25" s="89"/>
      <c r="K25" s="89"/>
      <c r="L25" s="89"/>
      <c r="M25" s="89"/>
      <c r="N25" s="130"/>
    </row>
    <row r="26" spans="1:14" ht="15.05" customHeight="1">
      <c r="A26" s="264" t="s">
        <v>296</v>
      </c>
      <c r="B26" s="36"/>
      <c r="C26" s="37" t="s">
        <v>297</v>
      </c>
      <c r="D26" s="38">
        <v>0</v>
      </c>
      <c r="E26" s="263"/>
      <c r="F26" s="309">
        <f t="shared" ref="F26:F42" si="4">SUM(G26:M26)</f>
        <v>0</v>
      </c>
      <c r="G26" s="310">
        <v>0</v>
      </c>
      <c r="H26" s="310">
        <v>0</v>
      </c>
      <c r="I26" s="310">
        <v>0</v>
      </c>
      <c r="J26" s="310">
        <v>0</v>
      </c>
      <c r="K26" s="310">
        <v>0</v>
      </c>
      <c r="L26" s="310">
        <v>0</v>
      </c>
      <c r="M26" s="311">
        <v>0</v>
      </c>
      <c r="N26" s="326" t="s">
        <v>804</v>
      </c>
    </row>
    <row r="27" spans="1:14">
      <c r="A27" s="264" t="s">
        <v>298</v>
      </c>
      <c r="B27" s="36"/>
      <c r="C27" s="44" t="s">
        <v>299</v>
      </c>
      <c r="D27" s="45"/>
      <c r="E27" s="263">
        <v>0</v>
      </c>
      <c r="F27" s="309">
        <f t="shared" si="4"/>
        <v>0</v>
      </c>
      <c r="G27" s="310">
        <v>0</v>
      </c>
      <c r="H27" s="310">
        <v>0</v>
      </c>
      <c r="I27" s="310">
        <v>0</v>
      </c>
      <c r="J27" s="310">
        <v>0</v>
      </c>
      <c r="K27" s="310">
        <v>0</v>
      </c>
      <c r="L27" s="310">
        <v>0</v>
      </c>
      <c r="M27" s="311">
        <v>0</v>
      </c>
      <c r="N27" s="355"/>
    </row>
    <row r="28" spans="1:14">
      <c r="A28" s="264" t="s">
        <v>300</v>
      </c>
      <c r="B28" s="36"/>
      <c r="C28" s="44" t="s">
        <v>301</v>
      </c>
      <c r="D28" s="45"/>
      <c r="E28" s="263">
        <v>0</v>
      </c>
      <c r="F28" s="309">
        <f t="shared" si="4"/>
        <v>0</v>
      </c>
      <c r="G28" s="310">
        <v>0</v>
      </c>
      <c r="H28" s="310">
        <v>0</v>
      </c>
      <c r="I28" s="310">
        <v>0</v>
      </c>
      <c r="J28" s="310">
        <v>0</v>
      </c>
      <c r="K28" s="310">
        <v>0</v>
      </c>
      <c r="L28" s="310">
        <v>0</v>
      </c>
      <c r="M28" s="311">
        <v>0</v>
      </c>
      <c r="N28" s="355"/>
    </row>
    <row r="29" spans="1:14">
      <c r="A29" s="264" t="s">
        <v>302</v>
      </c>
      <c r="B29" s="36"/>
      <c r="C29" s="44" t="s">
        <v>303</v>
      </c>
      <c r="D29" s="45"/>
      <c r="E29" s="263">
        <v>0</v>
      </c>
      <c r="F29" s="309">
        <f t="shared" si="4"/>
        <v>0</v>
      </c>
      <c r="G29" s="310">
        <v>0</v>
      </c>
      <c r="H29" s="310">
        <v>0</v>
      </c>
      <c r="I29" s="310">
        <v>0</v>
      </c>
      <c r="J29" s="310">
        <v>0</v>
      </c>
      <c r="K29" s="310">
        <v>0</v>
      </c>
      <c r="L29" s="310">
        <v>0</v>
      </c>
      <c r="M29" s="311">
        <v>0</v>
      </c>
      <c r="N29" s="355"/>
    </row>
    <row r="30" spans="1:14">
      <c r="A30" s="264" t="s">
        <v>304</v>
      </c>
      <c r="B30" s="36"/>
      <c r="C30" s="44">
        <v>251</v>
      </c>
      <c r="D30" s="45"/>
      <c r="E30" s="263">
        <v>0</v>
      </c>
      <c r="F30" s="309">
        <f t="shared" si="4"/>
        <v>0</v>
      </c>
      <c r="G30" s="310">
        <v>0</v>
      </c>
      <c r="H30" s="310">
        <v>0</v>
      </c>
      <c r="I30" s="310">
        <v>0</v>
      </c>
      <c r="J30" s="310">
        <v>0</v>
      </c>
      <c r="K30" s="310">
        <v>0</v>
      </c>
      <c r="L30" s="310">
        <v>0</v>
      </c>
      <c r="M30" s="311">
        <v>0</v>
      </c>
      <c r="N30" s="355"/>
    </row>
    <row r="31" spans="1:14">
      <c r="A31" s="264" t="s">
        <v>313</v>
      </c>
      <c r="B31" s="36"/>
      <c r="C31" s="44">
        <v>252</v>
      </c>
      <c r="D31" s="45"/>
      <c r="E31" s="263">
        <v>0</v>
      </c>
      <c r="F31" s="309">
        <f t="shared" si="4"/>
        <v>0</v>
      </c>
      <c r="G31" s="310">
        <v>0</v>
      </c>
      <c r="H31" s="310">
        <v>0</v>
      </c>
      <c r="I31" s="310">
        <v>0</v>
      </c>
      <c r="J31" s="310">
        <v>0</v>
      </c>
      <c r="K31" s="310">
        <v>0</v>
      </c>
      <c r="L31" s="310">
        <v>0</v>
      </c>
      <c r="M31" s="311">
        <v>0</v>
      </c>
      <c r="N31" s="385"/>
    </row>
    <row r="32" spans="1:14" ht="79.45" customHeight="1">
      <c r="A32" s="264" t="s">
        <v>805</v>
      </c>
      <c r="B32" s="36"/>
      <c r="C32" s="44">
        <v>252</v>
      </c>
      <c r="D32" s="45"/>
      <c r="E32" s="263">
        <v>0</v>
      </c>
      <c r="F32" s="309">
        <f t="shared" si="4"/>
        <v>0</v>
      </c>
      <c r="G32" s="310">
        <v>0</v>
      </c>
      <c r="H32" s="310">
        <v>0</v>
      </c>
      <c r="I32" s="310">
        <v>0</v>
      </c>
      <c r="J32" s="310">
        <v>0</v>
      </c>
      <c r="K32" s="310">
        <v>0</v>
      </c>
      <c r="L32" s="310">
        <v>0</v>
      </c>
      <c r="M32" s="311">
        <v>0</v>
      </c>
      <c r="N32" s="384"/>
    </row>
    <row r="33" spans="1:14">
      <c r="A33" s="264" t="s">
        <v>313</v>
      </c>
      <c r="B33" s="36"/>
      <c r="C33" s="44">
        <v>252</v>
      </c>
      <c r="D33" s="45"/>
      <c r="E33" s="263">
        <v>0</v>
      </c>
      <c r="F33" s="309">
        <f t="shared" si="4"/>
        <v>0</v>
      </c>
      <c r="G33" s="310">
        <v>0</v>
      </c>
      <c r="H33" s="310">
        <v>0</v>
      </c>
      <c r="I33" s="310">
        <v>0</v>
      </c>
      <c r="J33" s="310">
        <v>0</v>
      </c>
      <c r="K33" s="310">
        <v>0</v>
      </c>
      <c r="L33" s="310">
        <v>0</v>
      </c>
      <c r="M33" s="311">
        <v>0</v>
      </c>
      <c r="N33" s="385"/>
    </row>
    <row r="34" spans="1:14">
      <c r="A34" s="264" t="s">
        <v>313</v>
      </c>
      <c r="B34" s="36"/>
      <c r="C34" s="44">
        <v>252</v>
      </c>
      <c r="D34" s="45"/>
      <c r="E34" s="263">
        <v>0</v>
      </c>
      <c r="F34" s="309">
        <f t="shared" si="4"/>
        <v>0</v>
      </c>
      <c r="G34" s="310">
        <v>0</v>
      </c>
      <c r="H34" s="310">
        <v>0</v>
      </c>
      <c r="I34" s="310">
        <v>0</v>
      </c>
      <c r="J34" s="310">
        <v>0</v>
      </c>
      <c r="K34" s="310">
        <v>0</v>
      </c>
      <c r="L34" s="310">
        <v>0</v>
      </c>
      <c r="M34" s="311">
        <v>0</v>
      </c>
      <c r="N34" s="355"/>
    </row>
    <row r="35" spans="1:14">
      <c r="A35" s="264" t="s">
        <v>313</v>
      </c>
      <c r="B35" s="36"/>
      <c r="C35" s="44">
        <v>252</v>
      </c>
      <c r="D35" s="45"/>
      <c r="E35" s="263">
        <v>0</v>
      </c>
      <c r="F35" s="309">
        <f t="shared" si="4"/>
        <v>0</v>
      </c>
      <c r="G35" s="310">
        <v>0</v>
      </c>
      <c r="H35" s="310">
        <v>0</v>
      </c>
      <c r="I35" s="310">
        <v>0</v>
      </c>
      <c r="J35" s="310">
        <v>0</v>
      </c>
      <c r="K35" s="310">
        <v>0</v>
      </c>
      <c r="L35" s="310">
        <v>0</v>
      </c>
      <c r="M35" s="311">
        <v>0</v>
      </c>
      <c r="N35" s="355"/>
    </row>
    <row r="36" spans="1:14">
      <c r="A36" s="264" t="s">
        <v>315</v>
      </c>
      <c r="B36" s="36"/>
      <c r="C36" s="44">
        <v>253</v>
      </c>
      <c r="D36" s="264"/>
      <c r="E36" s="263">
        <v>0</v>
      </c>
      <c r="F36" s="309">
        <f t="shared" si="4"/>
        <v>0</v>
      </c>
      <c r="G36" s="310">
        <v>0</v>
      </c>
      <c r="H36" s="310">
        <v>0</v>
      </c>
      <c r="I36" s="310">
        <v>0</v>
      </c>
      <c r="J36" s="310">
        <v>0</v>
      </c>
      <c r="K36" s="310">
        <v>0</v>
      </c>
      <c r="L36" s="310">
        <v>0</v>
      </c>
      <c r="M36" s="311">
        <v>0</v>
      </c>
      <c r="N36" s="355"/>
    </row>
    <row r="37" spans="1:14">
      <c r="A37" s="264" t="s">
        <v>316</v>
      </c>
      <c r="B37" s="36"/>
      <c r="C37" s="44">
        <v>255</v>
      </c>
      <c r="D37" s="264"/>
      <c r="E37" s="263">
        <v>0</v>
      </c>
      <c r="F37" s="309">
        <f t="shared" si="4"/>
        <v>0</v>
      </c>
      <c r="G37" s="310">
        <v>0</v>
      </c>
      <c r="H37" s="310">
        <v>0</v>
      </c>
      <c r="I37" s="310">
        <v>0</v>
      </c>
      <c r="J37" s="310">
        <v>0</v>
      </c>
      <c r="K37" s="310">
        <v>0</v>
      </c>
      <c r="L37" s="310">
        <v>0</v>
      </c>
      <c r="M37" s="311">
        <v>0</v>
      </c>
      <c r="N37" s="355"/>
    </row>
    <row r="38" spans="1:14">
      <c r="A38" s="264" t="s">
        <v>317</v>
      </c>
      <c r="B38" s="36"/>
      <c r="C38" s="44">
        <v>256</v>
      </c>
      <c r="D38" s="264"/>
      <c r="E38" s="263">
        <v>0</v>
      </c>
      <c r="F38" s="309">
        <f t="shared" si="4"/>
        <v>0</v>
      </c>
      <c r="G38" s="310">
        <v>0</v>
      </c>
      <c r="H38" s="310">
        <v>0</v>
      </c>
      <c r="I38" s="310">
        <v>0</v>
      </c>
      <c r="J38" s="310">
        <v>0</v>
      </c>
      <c r="K38" s="310">
        <v>0</v>
      </c>
      <c r="L38" s="310">
        <v>0</v>
      </c>
      <c r="M38" s="311">
        <v>0</v>
      </c>
      <c r="N38" s="355"/>
    </row>
    <row r="39" spans="1:14">
      <c r="A39" s="264" t="s">
        <v>318</v>
      </c>
      <c r="B39" s="36"/>
      <c r="C39" s="44">
        <v>257</v>
      </c>
      <c r="D39" s="264"/>
      <c r="E39" s="263">
        <v>0</v>
      </c>
      <c r="F39" s="309">
        <f t="shared" si="4"/>
        <v>0</v>
      </c>
      <c r="G39" s="310">
        <v>0</v>
      </c>
      <c r="H39" s="310">
        <v>0</v>
      </c>
      <c r="I39" s="310">
        <v>0</v>
      </c>
      <c r="J39" s="310">
        <v>0</v>
      </c>
      <c r="K39" s="310">
        <v>0</v>
      </c>
      <c r="L39" s="310">
        <v>0</v>
      </c>
      <c r="M39" s="311">
        <v>0</v>
      </c>
      <c r="N39" s="355"/>
    </row>
    <row r="40" spans="1:14">
      <c r="A40" s="264" t="s">
        <v>319</v>
      </c>
      <c r="B40" s="36"/>
      <c r="C40" s="44" t="s">
        <v>320</v>
      </c>
      <c r="D40" s="264"/>
      <c r="E40" s="263">
        <v>0</v>
      </c>
      <c r="F40" s="309">
        <f t="shared" si="4"/>
        <v>0</v>
      </c>
      <c r="G40" s="310">
        <v>0</v>
      </c>
      <c r="H40" s="310">
        <v>0</v>
      </c>
      <c r="I40" s="310">
        <v>0</v>
      </c>
      <c r="J40" s="310">
        <v>0</v>
      </c>
      <c r="K40" s="310">
        <v>0</v>
      </c>
      <c r="L40" s="310">
        <v>0</v>
      </c>
      <c r="M40" s="311">
        <v>0</v>
      </c>
      <c r="N40" s="355"/>
    </row>
    <row r="41" spans="1:14">
      <c r="A41" s="265" t="s">
        <v>321</v>
      </c>
      <c r="B41" s="36"/>
      <c r="C41" s="266" t="s">
        <v>322</v>
      </c>
      <c r="D41" s="265"/>
      <c r="E41" s="263">
        <v>0</v>
      </c>
      <c r="F41" s="309">
        <f t="shared" si="4"/>
        <v>0</v>
      </c>
      <c r="G41" s="310">
        <v>0</v>
      </c>
      <c r="H41" s="310">
        <v>0</v>
      </c>
      <c r="I41" s="310">
        <v>0</v>
      </c>
      <c r="J41" s="310">
        <v>0</v>
      </c>
      <c r="K41" s="310">
        <v>0</v>
      </c>
      <c r="L41" s="310">
        <v>0</v>
      </c>
      <c r="M41" s="311">
        <v>0</v>
      </c>
      <c r="N41" s="355"/>
    </row>
    <row r="42" spans="1:14" ht="29.7">
      <c r="A42" s="265" t="s">
        <v>323</v>
      </c>
      <c r="B42" s="390"/>
      <c r="C42" s="266" t="s">
        <v>324</v>
      </c>
      <c r="D42" s="265"/>
      <c r="E42" s="318">
        <v>0</v>
      </c>
      <c r="F42" s="309">
        <f t="shared" si="4"/>
        <v>-910</v>
      </c>
      <c r="G42" s="165">
        <v>0</v>
      </c>
      <c r="H42" s="165">
        <v>0</v>
      </c>
      <c r="I42" s="165">
        <v>0</v>
      </c>
      <c r="J42" s="165">
        <v>0</v>
      </c>
      <c r="K42" s="165">
        <v>0</v>
      </c>
      <c r="L42" s="165">
        <v>0</v>
      </c>
      <c r="M42" s="166">
        <v>-910</v>
      </c>
      <c r="N42" s="325" t="s">
        <v>1374</v>
      </c>
    </row>
    <row r="43" spans="1:14">
      <c r="A43" s="40" t="s">
        <v>326</v>
      </c>
      <c r="B43" s="265"/>
      <c r="C43" s="266"/>
      <c r="D43" s="247"/>
      <c r="E43" s="242">
        <f>SUM(E26:E42)</f>
        <v>0</v>
      </c>
      <c r="F43" s="243">
        <f>SUM(F26:F42)</f>
        <v>-910</v>
      </c>
      <c r="G43" s="243">
        <f t="shared" ref="G43:L43" si="5">SUM(G26:G42)</f>
        <v>0</v>
      </c>
      <c r="H43" s="243">
        <f t="shared" si="5"/>
        <v>0</v>
      </c>
      <c r="I43" s="243">
        <f t="shared" si="5"/>
        <v>0</v>
      </c>
      <c r="J43" s="243">
        <f t="shared" si="5"/>
        <v>0</v>
      </c>
      <c r="K43" s="243">
        <f t="shared" si="5"/>
        <v>0</v>
      </c>
      <c r="L43" s="243">
        <f t="shared" si="5"/>
        <v>0</v>
      </c>
      <c r="M43" s="243">
        <f>SUM(M26:M42)</f>
        <v>-910</v>
      </c>
      <c r="N43" s="355"/>
    </row>
    <row r="44" spans="1:14">
      <c r="A44" s="40" t="s">
        <v>327</v>
      </c>
      <c r="B44" s="51"/>
      <c r="C44" s="149"/>
      <c r="D44" s="247"/>
      <c r="E44" s="244"/>
      <c r="F44" s="245">
        <v>0</v>
      </c>
      <c r="G44" s="245"/>
      <c r="H44" s="245"/>
      <c r="I44" s="245"/>
      <c r="J44" s="245"/>
      <c r="K44" s="245"/>
      <c r="L44" s="245"/>
      <c r="M44" s="245"/>
      <c r="N44" s="355"/>
    </row>
    <row r="45" spans="1:14">
      <c r="A45" s="40" t="s">
        <v>328</v>
      </c>
      <c r="B45" s="46"/>
      <c r="C45" s="47"/>
      <c r="D45" s="48"/>
      <c r="E45" s="242">
        <f t="shared" ref="E45:M45" si="6">E43+E24+E13-E44</f>
        <v>1276</v>
      </c>
      <c r="F45" s="17">
        <f t="shared" si="6"/>
        <v>265</v>
      </c>
      <c r="G45" s="17">
        <f t="shared" si="6"/>
        <v>21</v>
      </c>
      <c r="H45" s="17">
        <f t="shared" si="6"/>
        <v>155</v>
      </c>
      <c r="I45" s="17">
        <f t="shared" si="6"/>
        <v>32</v>
      </c>
      <c r="J45" s="17">
        <f t="shared" si="6"/>
        <v>57</v>
      </c>
      <c r="K45" s="17">
        <f t="shared" si="6"/>
        <v>0</v>
      </c>
      <c r="L45" s="17">
        <f t="shared" si="6"/>
        <v>0</v>
      </c>
      <c r="M45" s="17">
        <f t="shared" si="6"/>
        <v>0</v>
      </c>
      <c r="N45" s="353"/>
    </row>
    <row r="46" spans="1:14">
      <c r="C46" s="687"/>
      <c r="D46" s="269" t="s">
        <v>391</v>
      </c>
      <c r="E46" s="317">
        <f>+E45-C50</f>
        <v>265</v>
      </c>
      <c r="F46" s="317">
        <f>+F45-B50</f>
        <v>265</v>
      </c>
    </row>
    <row r="47" spans="1:14">
      <c r="C47" s="689"/>
      <c r="D47" s="690" t="s">
        <v>1316</v>
      </c>
      <c r="E47" s="691">
        <f>+E46+E23</f>
        <v>829</v>
      </c>
      <c r="F47" s="691">
        <f>+F46+F23</f>
        <v>1005</v>
      </c>
    </row>
    <row r="48" spans="1:14">
      <c r="A48" s="466" t="s">
        <v>783</v>
      </c>
      <c r="C48" s="687"/>
    </row>
    <row r="49" spans="1:14">
      <c r="A49" s="56" t="s">
        <v>392</v>
      </c>
      <c r="B49" s="389" t="s">
        <v>393</v>
      </c>
      <c r="C49" s="31" t="s">
        <v>359</v>
      </c>
    </row>
    <row r="50" spans="1:14">
      <c r="A50" s="57" t="s">
        <v>394</v>
      </c>
      <c r="B50" s="58">
        <f>910-910</f>
        <v>0</v>
      </c>
      <c r="C50" s="58">
        <v>1011</v>
      </c>
      <c r="D50" s="381" t="s">
        <v>1375</v>
      </c>
    </row>
    <row r="51" spans="1:14">
      <c r="A51" s="264" t="s">
        <v>396</v>
      </c>
      <c r="B51" s="59">
        <v>0</v>
      </c>
      <c r="C51" s="59">
        <v>0</v>
      </c>
    </row>
    <row r="52" spans="1:14">
      <c r="A52" s="60" t="s">
        <v>784</v>
      </c>
      <c r="B52" s="61">
        <f>B50-B51</f>
        <v>0</v>
      </c>
      <c r="C52" s="61">
        <f>+C50-C51</f>
        <v>1011</v>
      </c>
    </row>
    <row r="54" spans="1:14">
      <c r="A54" s="381" t="s">
        <v>1317</v>
      </c>
      <c r="B54" s="692">
        <f>+B52+F47</f>
        <v>1005</v>
      </c>
      <c r="C54" s="693">
        <f>+C52+E47</f>
        <v>1840</v>
      </c>
    </row>
    <row r="55" spans="1:14" ht="15.6" thickBot="1">
      <c r="A55" s="31"/>
      <c r="B55" s="31"/>
      <c r="C55" s="32"/>
      <c r="D55" s="31"/>
      <c r="E55" s="31"/>
      <c r="F55" s="31"/>
      <c r="G55" s="31"/>
      <c r="H55" s="31"/>
      <c r="I55" s="31"/>
      <c r="J55" s="31"/>
      <c r="K55" s="31"/>
      <c r="L55" s="31"/>
      <c r="M55" s="31"/>
      <c r="N55" s="562"/>
    </row>
    <row r="56" spans="1:14" ht="15.6">
      <c r="A56" s="764" t="s">
        <v>330</v>
      </c>
      <c r="B56" s="765"/>
      <c r="C56" s="765"/>
      <c r="D56" s="765"/>
      <c r="E56" s="765"/>
      <c r="F56" s="765"/>
      <c r="G56" s="581"/>
      <c r="H56" s="31"/>
      <c r="I56" s="31"/>
      <c r="J56" s="31"/>
      <c r="K56" s="31"/>
      <c r="L56" s="31"/>
      <c r="M56" s="31"/>
      <c r="N56" s="562"/>
    </row>
    <row r="57" spans="1:14" ht="15.6">
      <c r="A57" s="738"/>
      <c r="B57" s="739"/>
      <c r="C57" s="739"/>
      <c r="D57" s="739"/>
      <c r="E57" s="739"/>
      <c r="F57" s="739"/>
      <c r="G57" s="582"/>
      <c r="H57" s="31"/>
      <c r="I57" s="31"/>
      <c r="J57" s="31"/>
      <c r="K57" s="31"/>
      <c r="L57" s="31"/>
      <c r="M57" s="31"/>
      <c r="N57" s="562"/>
    </row>
    <row r="58" spans="1:14">
      <c r="A58" s="740" t="s">
        <v>331</v>
      </c>
      <c r="B58" s="741"/>
      <c r="C58" s="583"/>
      <c r="D58" s="583"/>
      <c r="E58" s="583"/>
      <c r="F58" s="583"/>
      <c r="G58" s="582"/>
      <c r="H58" s="31"/>
      <c r="I58" s="31"/>
      <c r="J58" s="31"/>
      <c r="K58" s="31"/>
      <c r="L58" s="31"/>
      <c r="M58" s="31"/>
      <c r="N58" s="562"/>
    </row>
    <row r="59" spans="1:14">
      <c r="A59" s="584" t="s">
        <v>332</v>
      </c>
      <c r="B59" s="585">
        <f>+E45</f>
        <v>1276</v>
      </c>
      <c r="C59" s="586"/>
      <c r="D59" s="587"/>
      <c r="E59" s="587"/>
      <c r="F59" s="587"/>
      <c r="G59" s="582"/>
      <c r="H59" s="31"/>
      <c r="I59" s="31"/>
      <c r="J59" s="31"/>
      <c r="K59" s="31"/>
      <c r="L59" s="31"/>
      <c r="M59" s="31"/>
      <c r="N59" s="562"/>
    </row>
    <row r="60" spans="1:14">
      <c r="A60" s="588" t="s">
        <v>333</v>
      </c>
      <c r="B60" s="589">
        <f>+F45</f>
        <v>265</v>
      </c>
      <c r="C60" s="586"/>
      <c r="D60" s="587"/>
      <c r="E60" s="587"/>
      <c r="F60" s="587"/>
      <c r="G60" s="582"/>
      <c r="H60" s="31"/>
      <c r="I60" s="31"/>
      <c r="J60" s="31"/>
      <c r="K60" s="31"/>
      <c r="L60" s="31"/>
      <c r="M60" s="31"/>
      <c r="N60" s="562"/>
    </row>
    <row r="61" spans="1:14">
      <c r="A61" s="590" t="s">
        <v>334</v>
      </c>
      <c r="B61" s="591">
        <f>+B60-B59</f>
        <v>-1011</v>
      </c>
      <c r="C61" s="586"/>
      <c r="D61" s="587"/>
      <c r="E61" s="587"/>
      <c r="F61" s="587"/>
      <c r="G61" s="582"/>
      <c r="H61" s="31"/>
      <c r="I61" s="31"/>
      <c r="J61" s="31"/>
      <c r="K61" s="31"/>
      <c r="L61" s="31"/>
      <c r="M61" s="31"/>
      <c r="N61" s="562"/>
    </row>
    <row r="62" spans="1:14">
      <c r="A62" s="590" t="s">
        <v>335</v>
      </c>
      <c r="B62" s="592">
        <f>+B61/B59</f>
        <v>-0.79231974921630099</v>
      </c>
      <c r="C62" s="586"/>
      <c r="D62" s="587"/>
      <c r="E62" s="587"/>
      <c r="F62" s="587"/>
      <c r="G62" s="582"/>
      <c r="H62" s="31"/>
      <c r="I62" s="31"/>
      <c r="J62" s="31"/>
      <c r="K62" s="31"/>
      <c r="L62" s="31"/>
      <c r="M62" s="31"/>
      <c r="N62" s="562"/>
    </row>
    <row r="63" spans="1:14">
      <c r="A63" s="593"/>
      <c r="B63" s="587"/>
      <c r="C63" s="686"/>
      <c r="D63" s="587"/>
      <c r="E63" s="587"/>
      <c r="F63" s="587"/>
      <c r="G63" s="582"/>
      <c r="H63" s="31"/>
      <c r="I63" s="31"/>
      <c r="J63" s="31"/>
      <c r="K63" s="31"/>
      <c r="L63" s="31"/>
      <c r="M63" s="31"/>
      <c r="N63" s="562"/>
    </row>
    <row r="64" spans="1:14">
      <c r="A64" s="731" t="s">
        <v>336</v>
      </c>
      <c r="B64" s="732"/>
      <c r="C64" s="732"/>
      <c r="D64" s="732"/>
      <c r="E64" s="732"/>
      <c r="F64" s="732"/>
      <c r="G64" s="582"/>
      <c r="H64" s="31"/>
      <c r="I64" s="31"/>
      <c r="J64" s="31"/>
      <c r="K64" s="31"/>
      <c r="L64" s="31"/>
      <c r="M64" s="31"/>
      <c r="N64" s="562"/>
    </row>
    <row r="65" spans="1:14">
      <c r="A65" s="742"/>
      <c r="B65" s="743"/>
      <c r="C65" s="743"/>
      <c r="D65" s="743"/>
      <c r="E65" s="743"/>
      <c r="F65" s="744"/>
      <c r="G65" s="582"/>
      <c r="H65" s="31"/>
      <c r="I65" s="31"/>
      <c r="J65" s="31"/>
      <c r="K65" s="31"/>
      <c r="L65" s="31"/>
      <c r="M65" s="31"/>
      <c r="N65" s="562"/>
    </row>
    <row r="66" spans="1:14">
      <c r="A66" s="594"/>
      <c r="B66" s="595"/>
      <c r="C66" s="595"/>
      <c r="D66" s="595"/>
      <c r="E66" s="595"/>
      <c r="F66" s="595"/>
      <c r="G66" s="582"/>
      <c r="H66" s="31"/>
      <c r="I66" s="31"/>
      <c r="J66" s="31"/>
      <c r="K66" s="31"/>
      <c r="L66" s="31"/>
      <c r="M66" s="31"/>
      <c r="N66" s="562"/>
    </row>
    <row r="67" spans="1:14">
      <c r="A67" s="596" t="s">
        <v>337</v>
      </c>
      <c r="B67" s="587"/>
      <c r="C67" s="686"/>
      <c r="D67" s="587"/>
      <c r="E67" s="587"/>
      <c r="F67" s="587"/>
      <c r="G67" s="582"/>
      <c r="H67" s="31"/>
      <c r="I67" s="31"/>
      <c r="J67" s="31"/>
      <c r="K67" s="31"/>
      <c r="L67" s="31"/>
      <c r="M67" s="31"/>
      <c r="N67" s="562"/>
    </row>
    <row r="68" spans="1:14">
      <c r="A68" s="735"/>
      <c r="B68" s="736"/>
      <c r="C68" s="736"/>
      <c r="D68" s="736"/>
      <c r="E68" s="736"/>
      <c r="F68" s="737"/>
      <c r="G68" s="582"/>
      <c r="H68" s="31"/>
      <c r="I68" s="31"/>
      <c r="J68" s="31"/>
      <c r="K68" s="31"/>
      <c r="L68" s="31"/>
      <c r="M68" s="31"/>
      <c r="N68" s="562"/>
    </row>
    <row r="69" spans="1:14">
      <c r="A69" s="593"/>
      <c r="B69" s="587"/>
      <c r="C69" s="686"/>
      <c r="D69" s="587"/>
      <c r="E69" s="587"/>
      <c r="F69" s="587"/>
      <c r="G69" s="582"/>
      <c r="H69" s="31"/>
      <c r="I69" s="31"/>
      <c r="J69" s="31"/>
      <c r="K69" s="31"/>
      <c r="L69" s="31"/>
      <c r="M69" s="31"/>
      <c r="N69" s="562"/>
    </row>
    <row r="70" spans="1:14">
      <c r="A70" s="731" t="s">
        <v>365</v>
      </c>
      <c r="B70" s="732"/>
      <c r="C70" s="732"/>
      <c r="D70" s="732"/>
      <c r="E70" s="732"/>
      <c r="F70" s="732"/>
      <c r="G70" s="582"/>
      <c r="H70" s="31"/>
      <c r="I70" s="31"/>
      <c r="J70" s="31"/>
      <c r="K70" s="31"/>
      <c r="L70" s="31"/>
      <c r="M70" s="31"/>
      <c r="N70" s="562"/>
    </row>
    <row r="71" spans="1:14">
      <c r="A71" s="733" t="s">
        <v>461</v>
      </c>
      <c r="B71" s="734"/>
      <c r="C71" s="734"/>
      <c r="D71" s="734"/>
      <c r="E71" s="734"/>
      <c r="F71" s="734"/>
      <c r="G71" s="582"/>
      <c r="H71" s="31"/>
      <c r="I71" s="31"/>
      <c r="J71" s="31"/>
      <c r="K71" s="31"/>
      <c r="L71" s="31"/>
      <c r="M71" s="31"/>
      <c r="N71" s="562"/>
    </row>
    <row r="72" spans="1:14" ht="54.2" customHeight="1">
      <c r="A72" s="742" t="s">
        <v>806</v>
      </c>
      <c r="B72" s="743"/>
      <c r="C72" s="743"/>
      <c r="D72" s="743"/>
      <c r="E72" s="743"/>
      <c r="F72" s="744"/>
      <c r="G72" s="582"/>
      <c r="H72" s="31"/>
      <c r="I72" s="31"/>
      <c r="J72" s="31"/>
      <c r="K72" s="31"/>
      <c r="L72" s="31"/>
      <c r="M72" s="31"/>
      <c r="N72" s="562"/>
    </row>
    <row r="73" spans="1:14">
      <c r="A73" s="596"/>
      <c r="B73" s="587"/>
      <c r="C73" s="686"/>
      <c r="D73" s="587"/>
      <c r="E73" s="587"/>
      <c r="F73" s="587"/>
      <c r="G73" s="582"/>
      <c r="H73" s="31"/>
      <c r="I73" s="31"/>
      <c r="J73" s="31"/>
      <c r="K73" s="31"/>
      <c r="L73" s="31"/>
      <c r="M73" s="31"/>
      <c r="N73" s="562"/>
    </row>
    <row r="74" spans="1:14">
      <c r="A74" s="731" t="s">
        <v>340</v>
      </c>
      <c r="B74" s="732"/>
      <c r="C74" s="732"/>
      <c r="D74" s="732"/>
      <c r="E74" s="732"/>
      <c r="F74" s="587"/>
      <c r="G74" s="582"/>
      <c r="H74" s="31"/>
      <c r="I74" s="31"/>
      <c r="J74" s="31"/>
      <c r="K74" s="31"/>
      <c r="L74" s="31"/>
      <c r="M74" s="31"/>
      <c r="N74" s="562"/>
    </row>
    <row r="75" spans="1:14">
      <c r="A75" s="728"/>
      <c r="B75" s="729"/>
      <c r="C75" s="729"/>
      <c r="D75" s="729"/>
      <c r="E75" s="729"/>
      <c r="F75" s="730"/>
      <c r="G75" s="582"/>
      <c r="H75" s="31"/>
      <c r="I75" s="31"/>
      <c r="J75" s="31"/>
      <c r="K75" s="31"/>
      <c r="L75" s="31"/>
      <c r="M75" s="31"/>
      <c r="N75" s="562"/>
    </row>
    <row r="76" spans="1:14">
      <c r="A76" s="593"/>
      <c r="B76" s="587"/>
      <c r="C76" s="686"/>
      <c r="D76" s="587"/>
      <c r="E76" s="587"/>
      <c r="F76" s="587"/>
      <c r="G76" s="582"/>
      <c r="H76" s="31"/>
      <c r="I76" s="31"/>
      <c r="J76" s="31"/>
      <c r="K76" s="31"/>
      <c r="L76" s="31"/>
      <c r="M76" s="31"/>
      <c r="N76" s="562"/>
    </row>
    <row r="77" spans="1:14">
      <c r="A77" s="596" t="s">
        <v>341</v>
      </c>
      <c r="B77" s="587"/>
      <c r="C77" s="686"/>
      <c r="D77" s="587"/>
      <c r="E77" s="587"/>
      <c r="F77" s="587"/>
      <c r="G77" s="582"/>
      <c r="H77" s="31"/>
      <c r="I77" s="31"/>
      <c r="J77" s="31"/>
      <c r="K77" s="31"/>
      <c r="L77" s="31"/>
      <c r="M77" s="31"/>
      <c r="N77" s="562"/>
    </row>
    <row r="78" spans="1:14">
      <c r="A78" s="597" t="s">
        <v>342</v>
      </c>
      <c r="B78" s="587"/>
      <c r="C78" s="686"/>
      <c r="D78" s="587"/>
      <c r="E78" s="587"/>
      <c r="F78" s="587"/>
      <c r="G78" s="582"/>
      <c r="H78" s="31"/>
      <c r="I78" s="31"/>
      <c r="J78" s="31"/>
      <c r="K78" s="31"/>
      <c r="L78" s="31"/>
      <c r="M78" s="31"/>
      <c r="N78" s="562"/>
    </row>
    <row r="79" spans="1:14">
      <c r="A79" s="719" t="s">
        <v>343</v>
      </c>
      <c r="B79" s="720"/>
      <c r="C79" s="720"/>
      <c r="D79" s="720"/>
      <c r="E79" s="720"/>
      <c r="F79" s="720"/>
      <c r="G79" s="582"/>
      <c r="H79" s="31"/>
      <c r="I79" s="31"/>
      <c r="J79" s="31"/>
      <c r="K79" s="31"/>
      <c r="L79" s="31"/>
      <c r="M79" s="31"/>
      <c r="N79" s="562"/>
    </row>
    <row r="80" spans="1:14">
      <c r="A80" s="721"/>
      <c r="B80" s="722"/>
      <c r="C80" s="722"/>
      <c r="D80" s="722"/>
      <c r="E80" s="722"/>
      <c r="F80" s="723"/>
      <c r="G80" s="582"/>
      <c r="H80" s="31"/>
      <c r="I80" s="31"/>
      <c r="J80" s="31"/>
      <c r="K80" s="31"/>
      <c r="L80" s="31"/>
      <c r="M80" s="31"/>
      <c r="N80" s="562"/>
    </row>
    <row r="81" spans="1:14">
      <c r="A81" s="724"/>
      <c r="B81" s="725"/>
      <c r="C81" s="725"/>
      <c r="D81" s="725"/>
      <c r="E81" s="725"/>
      <c r="F81" s="725"/>
      <c r="G81" s="582"/>
      <c r="H81" s="31"/>
      <c r="I81" s="31"/>
      <c r="J81" s="31"/>
      <c r="K81" s="31"/>
      <c r="L81" s="31"/>
      <c r="M81" s="31"/>
      <c r="N81" s="562"/>
    </row>
    <row r="82" spans="1:14">
      <c r="A82" s="597" t="s">
        <v>344</v>
      </c>
      <c r="B82" s="587"/>
      <c r="C82" s="686"/>
      <c r="D82" s="587"/>
      <c r="E82" s="587"/>
      <c r="F82" s="587"/>
      <c r="G82" s="582"/>
      <c r="H82" s="31"/>
      <c r="I82" s="31"/>
      <c r="J82" s="31"/>
      <c r="K82" s="31"/>
      <c r="L82" s="31"/>
      <c r="M82" s="31"/>
      <c r="N82" s="562"/>
    </row>
    <row r="83" spans="1:14">
      <c r="A83" s="726" t="s">
        <v>345</v>
      </c>
      <c r="B83" s="727"/>
      <c r="C83" s="727"/>
      <c r="D83" s="727"/>
      <c r="E83" s="727"/>
      <c r="F83" s="727"/>
      <c r="G83" s="582"/>
      <c r="H83" s="31"/>
      <c r="I83" s="31"/>
      <c r="J83" s="31"/>
      <c r="K83" s="31"/>
      <c r="L83" s="31"/>
      <c r="M83" s="31"/>
      <c r="N83" s="562"/>
    </row>
    <row r="84" spans="1:14">
      <c r="A84" s="728"/>
      <c r="B84" s="729"/>
      <c r="C84" s="729"/>
      <c r="D84" s="729"/>
      <c r="E84" s="729"/>
      <c r="F84" s="730"/>
      <c r="G84" s="582"/>
      <c r="H84" s="31"/>
      <c r="I84" s="31"/>
      <c r="J84" s="31"/>
      <c r="K84" s="31"/>
      <c r="L84" s="31"/>
      <c r="M84" s="31"/>
      <c r="N84" s="562"/>
    </row>
    <row r="85" spans="1:14" ht="15.6" thickBot="1">
      <c r="A85" s="598"/>
      <c r="B85" s="599"/>
      <c r="C85" s="600"/>
      <c r="D85" s="599"/>
      <c r="E85" s="599"/>
      <c r="F85" s="599"/>
      <c r="G85" s="601"/>
      <c r="H85" s="31"/>
      <c r="I85" s="31"/>
      <c r="J85" s="31"/>
      <c r="K85" s="31"/>
      <c r="L85" s="31"/>
      <c r="M85" s="31"/>
      <c r="N85" s="562"/>
    </row>
    <row r="86" spans="1:14">
      <c r="A86" s="31"/>
      <c r="B86" s="31"/>
      <c r="C86" s="32"/>
      <c r="D86" s="31"/>
      <c r="E86" s="31"/>
      <c r="F86" s="31"/>
      <c r="G86" s="31"/>
      <c r="H86" s="31"/>
      <c r="I86" s="31"/>
      <c r="J86" s="31"/>
      <c r="K86" s="31"/>
      <c r="L86" s="31"/>
      <c r="M86" s="31"/>
      <c r="N86" s="562"/>
    </row>
  </sheetData>
  <mergeCells count="17">
    <mergeCell ref="A1:N1"/>
    <mergeCell ref="A56:F56"/>
    <mergeCell ref="A57:F57"/>
    <mergeCell ref="A58:B58"/>
    <mergeCell ref="A64:F64"/>
    <mergeCell ref="A65:F65"/>
    <mergeCell ref="A68:F68"/>
    <mergeCell ref="A70:F70"/>
    <mergeCell ref="A71:F71"/>
    <mergeCell ref="A72:F72"/>
    <mergeCell ref="A83:F83"/>
    <mergeCell ref="A84:F84"/>
    <mergeCell ref="A74:E74"/>
    <mergeCell ref="A75:F75"/>
    <mergeCell ref="A79:F79"/>
    <mergeCell ref="A80:F80"/>
    <mergeCell ref="A81:F81"/>
  </mergeCells>
  <pageMargins left="0.7" right="0.7" top="0.75" bottom="0.75" header="0.3" footer="0.3"/>
  <pageSetup paperSize="0" orientation="portrait"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7558519241921"/>
    <pageSetUpPr fitToPage="1"/>
  </sheetPr>
  <dimension ref="A1:I24"/>
  <sheetViews>
    <sheetView zoomScaleNormal="100" workbookViewId="0">
      <selection sqref="A1:F1"/>
    </sheetView>
  </sheetViews>
  <sheetFormatPr defaultColWidth="17.28515625" defaultRowHeight="14.85"/>
  <cols>
    <col min="1" max="1" width="80.7109375" style="328" customWidth="1"/>
    <col min="2" max="2" width="10.7109375" style="328" customWidth="1"/>
    <col min="3" max="3" width="12" style="328" customWidth="1"/>
    <col min="4" max="4" width="10.7109375" style="328" customWidth="1"/>
    <col min="5" max="5" width="14.28515625" style="328" bestFit="1" customWidth="1"/>
    <col min="6" max="6" width="10.7109375" style="328" customWidth="1"/>
    <col min="7" max="7" width="14" style="328" bestFit="1" customWidth="1"/>
    <col min="8" max="8" width="11" style="328" bestFit="1" customWidth="1"/>
    <col min="9" max="9" width="11.85546875" style="328" bestFit="1" customWidth="1"/>
    <col min="10" max="16384" width="17.28515625" style="328"/>
  </cols>
  <sheetData>
    <row r="1" spans="1:9" ht="17.45" customHeight="1">
      <c r="A1" s="821" t="s">
        <v>807</v>
      </c>
      <c r="B1" s="822"/>
      <c r="C1" s="822"/>
      <c r="D1" s="822"/>
      <c r="E1" s="822"/>
      <c r="F1" s="823"/>
      <c r="G1" s="487"/>
      <c r="H1" s="487"/>
    </row>
    <row r="2" spans="1:9" ht="17.850000000000001">
      <c r="A2" s="824" t="s">
        <v>808</v>
      </c>
      <c r="B2" s="825"/>
      <c r="C2" s="825"/>
      <c r="D2" s="825"/>
      <c r="E2" s="825"/>
      <c r="F2" s="826"/>
    </row>
    <row r="3" spans="1:9" ht="29.7">
      <c r="A3" s="329" t="s">
        <v>809</v>
      </c>
      <c r="B3" s="329" t="s">
        <v>810</v>
      </c>
      <c r="C3" s="329" t="s">
        <v>811</v>
      </c>
      <c r="D3" s="329" t="s">
        <v>812</v>
      </c>
      <c r="E3" s="330" t="s">
        <v>813</v>
      </c>
      <c r="F3" s="329" t="s">
        <v>814</v>
      </c>
    </row>
    <row r="4" spans="1:9" ht="16.55" customHeight="1">
      <c r="A4" s="331" t="s">
        <v>815</v>
      </c>
      <c r="B4" s="332"/>
      <c r="C4" s="332"/>
      <c r="D4" s="332"/>
      <c r="E4" s="333"/>
      <c r="F4" s="332"/>
      <c r="G4" s="424"/>
    </row>
    <row r="5" spans="1:9" s="650" customFormat="1">
      <c r="A5" s="644" t="s">
        <v>816</v>
      </c>
      <c r="B5" s="645" t="s">
        <v>817</v>
      </c>
      <c r="C5" s="646" t="s">
        <v>2</v>
      </c>
      <c r="D5" s="645">
        <v>100</v>
      </c>
      <c r="E5" s="647">
        <v>3230000</v>
      </c>
      <c r="F5" s="648">
        <v>1</v>
      </c>
      <c r="G5" s="649"/>
    </row>
    <row r="6" spans="1:9" s="650" customFormat="1">
      <c r="A6" s="644" t="s">
        <v>818</v>
      </c>
      <c r="B6" s="645" t="s">
        <v>819</v>
      </c>
      <c r="C6" s="646" t="s">
        <v>0</v>
      </c>
      <c r="D6" s="645">
        <v>90</v>
      </c>
      <c r="E6" s="647">
        <v>900000</v>
      </c>
      <c r="F6" s="648">
        <v>2</v>
      </c>
      <c r="G6" s="649"/>
    </row>
    <row r="7" spans="1:9" s="650" customFormat="1">
      <c r="A7" s="644" t="s">
        <v>820</v>
      </c>
      <c r="B7" s="645" t="s">
        <v>821</v>
      </c>
      <c r="C7" s="646" t="s">
        <v>1</v>
      </c>
      <c r="D7" s="645">
        <v>90</v>
      </c>
      <c r="E7" s="647">
        <v>4628000</v>
      </c>
      <c r="F7" s="648">
        <v>3</v>
      </c>
    </row>
    <row r="8" spans="1:9" s="650" customFormat="1">
      <c r="A8" s="644" t="s">
        <v>822</v>
      </c>
      <c r="B8" s="645" t="s">
        <v>823</v>
      </c>
      <c r="C8" s="646" t="s">
        <v>0</v>
      </c>
      <c r="D8" s="645">
        <v>90</v>
      </c>
      <c r="E8" s="647">
        <v>500000</v>
      </c>
      <c r="F8" s="648">
        <v>4</v>
      </c>
    </row>
    <row r="9" spans="1:9" s="650" customFormat="1">
      <c r="A9" s="644" t="s">
        <v>824</v>
      </c>
      <c r="B9" s="645" t="s">
        <v>821</v>
      </c>
      <c r="C9" s="646" t="s">
        <v>0</v>
      </c>
      <c r="D9" s="645">
        <v>90</v>
      </c>
      <c r="E9" s="647">
        <v>1600000</v>
      </c>
      <c r="F9" s="648">
        <v>5</v>
      </c>
    </row>
    <row r="10" spans="1:9" s="381" customFormat="1" ht="15.05" customHeight="1">
      <c r="A10" s="644" t="s">
        <v>825</v>
      </c>
      <c r="B10" s="645" t="s">
        <v>826</v>
      </c>
      <c r="C10" s="646" t="s">
        <v>1</v>
      </c>
      <c r="D10" s="645">
        <v>80</v>
      </c>
      <c r="E10" s="647">
        <v>5200000</v>
      </c>
      <c r="F10" s="648">
        <v>6</v>
      </c>
      <c r="G10" s="650"/>
    </row>
    <row r="11" spans="1:9" s="381" customFormat="1" ht="15.05" customHeight="1">
      <c r="A11" s="651" t="s">
        <v>827</v>
      </c>
      <c r="B11" s="652" t="s">
        <v>819</v>
      </c>
      <c r="C11" s="652" t="s">
        <v>2</v>
      </c>
      <c r="D11" s="652">
        <v>62</v>
      </c>
      <c r="E11" s="653">
        <v>751000</v>
      </c>
      <c r="F11" s="648">
        <v>7</v>
      </c>
      <c r="G11" s="650"/>
    </row>
    <row r="12" spans="1:9" s="381" customFormat="1" ht="30.45">
      <c r="A12" s="644" t="s">
        <v>828</v>
      </c>
      <c r="B12" s="654" t="s">
        <v>826</v>
      </c>
      <c r="C12" s="655" t="s">
        <v>1</v>
      </c>
      <c r="D12" s="654">
        <v>60</v>
      </c>
      <c r="E12" s="656">
        <v>500000</v>
      </c>
      <c r="F12" s="657">
        <v>8</v>
      </c>
      <c r="G12" s="603"/>
    </row>
    <row r="13" spans="1:9" s="381" customFormat="1" ht="15.6">
      <c r="A13" s="651" t="s">
        <v>829</v>
      </c>
      <c r="B13" s="652" t="s">
        <v>830</v>
      </c>
      <c r="C13" s="652" t="s">
        <v>3</v>
      </c>
      <c r="D13" s="652">
        <v>52</v>
      </c>
      <c r="E13" s="653">
        <v>303000</v>
      </c>
      <c r="F13" s="648">
        <v>9</v>
      </c>
      <c r="G13" s="489" t="s">
        <v>831</v>
      </c>
      <c r="H13" s="425" t="s">
        <v>0</v>
      </c>
      <c r="I13" s="537">
        <f>ROUND((+E20/$E$24)*E14,0)</f>
        <v>138826</v>
      </c>
    </row>
    <row r="14" spans="1:9" s="659" customFormat="1" ht="15.8" customHeight="1">
      <c r="A14" s="644" t="s">
        <v>832</v>
      </c>
      <c r="B14" s="658"/>
      <c r="C14" s="646" t="s">
        <v>833</v>
      </c>
      <c r="D14" s="658"/>
      <c r="E14" s="647">
        <v>815000</v>
      </c>
      <c r="F14" s="648">
        <v>10</v>
      </c>
      <c r="G14" s="489" t="s">
        <v>834</v>
      </c>
      <c r="H14" s="424" t="s">
        <v>1</v>
      </c>
      <c r="I14" s="537">
        <f>ROUND((+E21/$E$24)*E14,0)</f>
        <v>477931</v>
      </c>
    </row>
    <row r="15" spans="1:9" ht="16.55" customHeight="1">
      <c r="A15" s="334" t="s">
        <v>835</v>
      </c>
      <c r="B15" s="426"/>
      <c r="C15" s="426"/>
      <c r="D15" s="426"/>
      <c r="E15" s="427">
        <f>SUM(E5:E14)</f>
        <v>18427000</v>
      </c>
      <c r="F15" s="335"/>
      <c r="G15" s="489" t="s">
        <v>836</v>
      </c>
      <c r="H15" s="424" t="s">
        <v>2</v>
      </c>
      <c r="I15" s="537">
        <f>ROUND((+E22/$E$24)*E14,0)</f>
        <v>184222</v>
      </c>
    </row>
    <row r="16" spans="1:9" ht="15.6">
      <c r="G16" s="489" t="s">
        <v>831</v>
      </c>
      <c r="H16" s="491" t="s">
        <v>3</v>
      </c>
      <c r="I16" s="539">
        <f>ROUND((+E23/$E$24)*E14,0)</f>
        <v>14021</v>
      </c>
    </row>
    <row r="17" spans="4:9">
      <c r="I17" s="538">
        <f>SUM(I13:I16)</f>
        <v>815000</v>
      </c>
    </row>
    <row r="18" spans="4:9">
      <c r="I18" s="493"/>
    </row>
    <row r="19" spans="4:9" ht="18.600000000000001">
      <c r="E19" s="328" t="s">
        <v>837</v>
      </c>
      <c r="F19" s="328" t="s">
        <v>838</v>
      </c>
      <c r="G19" s="540" t="s">
        <v>5</v>
      </c>
      <c r="I19" s="496" t="s">
        <v>839</v>
      </c>
    </row>
    <row r="20" spans="4:9">
      <c r="D20" s="328" t="s">
        <v>0</v>
      </c>
      <c r="E20" s="488">
        <f>+E6+E8+E9</f>
        <v>3000000</v>
      </c>
      <c r="F20" s="493">
        <f>+I13</f>
        <v>138826</v>
      </c>
      <c r="G20" s="488">
        <f>SUM(E20:F20)</f>
        <v>3138826</v>
      </c>
      <c r="I20" s="490"/>
    </row>
    <row r="21" spans="4:9">
      <c r="D21" s="328" t="s">
        <v>1</v>
      </c>
      <c r="E21" s="488">
        <f>+E7+E10+E12</f>
        <v>10328000</v>
      </c>
      <c r="F21" s="493">
        <f>+I14</f>
        <v>477931</v>
      </c>
      <c r="G21" s="488">
        <f>SUM(E21:F21)</f>
        <v>10805931</v>
      </c>
      <c r="I21" s="490"/>
    </row>
    <row r="22" spans="4:9">
      <c r="D22" s="328" t="s">
        <v>2</v>
      </c>
      <c r="E22" s="488">
        <f>+E5+E11</f>
        <v>3981000</v>
      </c>
      <c r="F22" s="493">
        <f>+I15</f>
        <v>184222</v>
      </c>
      <c r="G22" s="488">
        <f>SUM(E22:F22)</f>
        <v>4165222</v>
      </c>
      <c r="I22" s="490"/>
    </row>
    <row r="23" spans="4:9" ht="17.100000000000001">
      <c r="D23" s="328" t="s">
        <v>3</v>
      </c>
      <c r="E23" s="494">
        <f>+E13</f>
        <v>303000</v>
      </c>
      <c r="F23" s="495">
        <f>+I16</f>
        <v>14021</v>
      </c>
      <c r="G23" s="494">
        <f>SUM(E23:F23)</f>
        <v>317021</v>
      </c>
      <c r="I23" s="492"/>
    </row>
    <row r="24" spans="4:9">
      <c r="E24" s="488">
        <f>SUM(E20:E23)</f>
        <v>17612000</v>
      </c>
      <c r="F24" s="493">
        <f>SUM(F20:F23)</f>
        <v>815000</v>
      </c>
      <c r="G24" s="488">
        <f>SUM(E24:F24)</f>
        <v>18427000</v>
      </c>
      <c r="I24" s="490">
        <f>SUM(I20:I23)</f>
        <v>0</v>
      </c>
    </row>
  </sheetData>
  <mergeCells count="2">
    <mergeCell ref="A1:F1"/>
    <mergeCell ref="A2:F2"/>
  </mergeCells>
  <printOptions horizontalCentered="1"/>
  <pageMargins left="0.2" right="0.2" top="0.75" bottom="0.75" header="0.3" footer="0.3"/>
  <pageSetup scale="87" orientation="landscape" r:id="rId1"/>
  <headerFooter>
    <oddHeader xml:space="preserve">&amp;CDRAFT NOT FOR DISTRIBUTION, INTERNAL USE ONLY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0.249977111117893"/>
  </sheetPr>
  <dimension ref="A1:N67"/>
  <sheetViews>
    <sheetView workbookViewId="0">
      <selection sqref="A1:N1"/>
    </sheetView>
  </sheetViews>
  <sheetFormatPr defaultColWidth="9.140625" defaultRowHeight="14.85"/>
  <cols>
    <col min="1" max="1" width="50.85546875" style="381" bestFit="1" customWidth="1"/>
    <col min="2" max="2" width="12.42578125" style="381" customWidth="1"/>
    <col min="3" max="3" width="7.7109375" style="527" customWidth="1"/>
    <col min="4" max="4" width="8.7109375" style="38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ustomWidth="1"/>
    <col min="14" max="14" width="66.7109375" style="526" customWidth="1"/>
    <col min="15" max="15" width="57.42578125" style="381" customWidth="1"/>
    <col min="16" max="16384" width="9.140625" style="381"/>
  </cols>
  <sheetData>
    <row r="1" spans="1:14" ht="15.6">
      <c r="A1" s="745" t="s">
        <v>840</v>
      </c>
      <c r="B1" s="745"/>
      <c r="C1" s="745"/>
      <c r="D1" s="745"/>
      <c r="E1" s="745"/>
      <c r="F1" s="745"/>
      <c r="G1" s="745"/>
      <c r="H1" s="745"/>
      <c r="I1" s="745"/>
      <c r="J1" s="745"/>
      <c r="K1" s="745"/>
      <c r="L1" s="745"/>
      <c r="M1" s="745"/>
      <c r="N1" s="745"/>
    </row>
    <row r="2" spans="1:14" ht="37.85">
      <c r="A2" s="532" t="s">
        <v>841</v>
      </c>
      <c r="C2" s="687"/>
      <c r="N2" s="565"/>
    </row>
    <row r="3" spans="1:14">
      <c r="A3" s="65" t="s">
        <v>842</v>
      </c>
      <c r="C3" s="687"/>
      <c r="D3" s="554" t="s">
        <v>843</v>
      </c>
      <c r="E3" s="554"/>
      <c r="F3" s="554"/>
      <c r="G3" s="554"/>
      <c r="H3" s="554"/>
      <c r="I3" s="554"/>
      <c r="J3" s="554"/>
      <c r="N3" s="565"/>
    </row>
    <row r="4" spans="1:14">
      <c r="A4" s="65" t="s">
        <v>799</v>
      </c>
      <c r="B4" s="31"/>
      <c r="C4" s="32"/>
      <c r="D4" s="31"/>
      <c r="E4" s="31"/>
      <c r="N4" s="565"/>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844</v>
      </c>
    </row>
    <row r="6" spans="1:14">
      <c r="A6" s="127" t="s">
        <v>285</v>
      </c>
      <c r="B6" s="128"/>
      <c r="C6" s="129"/>
      <c r="D6" s="128"/>
      <c r="E6" s="128"/>
      <c r="F6" s="89"/>
      <c r="G6" s="89"/>
      <c r="H6" s="89"/>
      <c r="I6" s="89"/>
      <c r="J6" s="89"/>
      <c r="K6" s="89"/>
      <c r="L6" s="89"/>
      <c r="M6" s="89"/>
      <c r="N6" s="130"/>
    </row>
    <row r="7" spans="1:14">
      <c r="A7" s="36" t="s">
        <v>286</v>
      </c>
      <c r="B7" s="265"/>
      <c r="C7" s="37" t="s">
        <v>287</v>
      </c>
      <c r="D7" s="39"/>
      <c r="E7" s="263">
        <v>0</v>
      </c>
      <c r="F7" s="309">
        <f>SUM(G7:M7)</f>
        <v>0</v>
      </c>
      <c r="G7" s="310">
        <v>0</v>
      </c>
      <c r="H7" s="310">
        <v>0</v>
      </c>
      <c r="I7" s="310">
        <v>0</v>
      </c>
      <c r="J7" s="310">
        <v>0</v>
      </c>
      <c r="K7" s="310">
        <v>0</v>
      </c>
      <c r="L7" s="310">
        <v>0</v>
      </c>
      <c r="M7" s="311">
        <v>0</v>
      </c>
      <c r="N7" s="355"/>
    </row>
    <row r="8" spans="1:14">
      <c r="A8" s="40" t="s">
        <v>288</v>
      </c>
      <c r="B8" s="265"/>
      <c r="C8" s="266"/>
      <c r="D8" s="39"/>
      <c r="E8" s="42">
        <f t="shared" ref="E8:M8" si="0">SUM(E7:E7)</f>
        <v>0</v>
      </c>
      <c r="F8" s="43">
        <f t="shared" si="0"/>
        <v>0</v>
      </c>
      <c r="G8" s="43">
        <f t="shared" si="0"/>
        <v>0</v>
      </c>
      <c r="H8" s="43">
        <f t="shared" si="0"/>
        <v>0</v>
      </c>
      <c r="I8" s="43">
        <f t="shared" si="0"/>
        <v>0</v>
      </c>
      <c r="J8" s="43">
        <f t="shared" si="0"/>
        <v>0</v>
      </c>
      <c r="K8" s="43">
        <f t="shared" si="0"/>
        <v>0</v>
      </c>
      <c r="L8" s="43">
        <f t="shared" si="0"/>
        <v>0</v>
      </c>
      <c r="M8" s="43">
        <f t="shared" si="0"/>
        <v>0</v>
      </c>
      <c r="N8" s="325"/>
    </row>
    <row r="9" spans="1:14">
      <c r="A9" s="127" t="s">
        <v>289</v>
      </c>
      <c r="B9" s="128"/>
      <c r="C9" s="129"/>
      <c r="D9" s="128"/>
      <c r="E9" s="128"/>
      <c r="F9" s="89"/>
      <c r="G9" s="89"/>
      <c r="H9" s="89"/>
      <c r="I9" s="89"/>
      <c r="J9" s="89"/>
      <c r="K9" s="89"/>
      <c r="L9" s="89"/>
      <c r="M9" s="89"/>
      <c r="N9" s="529"/>
    </row>
    <row r="10" spans="1:14">
      <c r="A10" s="73" t="s">
        <v>293</v>
      </c>
      <c r="B10" s="264"/>
      <c r="C10" s="44">
        <v>252</v>
      </c>
      <c r="D10" s="45"/>
      <c r="E10" s="263">
        <v>0</v>
      </c>
      <c r="F10" s="309">
        <f>SUM(G10:M10)</f>
        <v>0</v>
      </c>
      <c r="G10" s="310">
        <v>0</v>
      </c>
      <c r="H10" s="310">
        <v>0</v>
      </c>
      <c r="I10" s="310">
        <v>0</v>
      </c>
      <c r="J10" s="310">
        <v>0</v>
      </c>
      <c r="K10" s="310">
        <v>0</v>
      </c>
      <c r="L10" s="310">
        <v>0</v>
      </c>
      <c r="M10" s="311">
        <v>0</v>
      </c>
      <c r="N10" s="327"/>
    </row>
    <row r="11" spans="1:14">
      <c r="A11" s="264" t="s">
        <v>293</v>
      </c>
      <c r="B11" s="264"/>
      <c r="C11" s="44">
        <v>253</v>
      </c>
      <c r="D11" s="45"/>
      <c r="E11" s="263">
        <v>0</v>
      </c>
      <c r="F11" s="309">
        <f>SUM(G11:M11)</f>
        <v>0</v>
      </c>
      <c r="G11" s="310">
        <v>0</v>
      </c>
      <c r="H11" s="310">
        <v>0</v>
      </c>
      <c r="I11" s="310">
        <v>0</v>
      </c>
      <c r="J11" s="310">
        <v>0</v>
      </c>
      <c r="K11" s="310">
        <v>0</v>
      </c>
      <c r="L11" s="310">
        <v>0</v>
      </c>
      <c r="M11" s="311">
        <v>0</v>
      </c>
      <c r="N11" s="325"/>
    </row>
    <row r="12" spans="1:14">
      <c r="A12" s="264" t="s">
        <v>379</v>
      </c>
      <c r="B12" s="264"/>
      <c r="C12" s="44">
        <v>253</v>
      </c>
      <c r="D12" s="45"/>
      <c r="E12" s="263">
        <v>0</v>
      </c>
      <c r="F12" s="309">
        <f>SUM(G12:M12)</f>
        <v>0</v>
      </c>
      <c r="G12" s="310">
        <v>0</v>
      </c>
      <c r="H12" s="157"/>
      <c r="I12" s="310">
        <v>0</v>
      </c>
      <c r="J12" s="310">
        <v>0</v>
      </c>
      <c r="K12" s="310">
        <v>0</v>
      </c>
      <c r="L12" s="310">
        <v>0</v>
      </c>
      <c r="M12" s="311">
        <v>0</v>
      </c>
      <c r="N12" s="325"/>
    </row>
    <row r="13" spans="1:14">
      <c r="A13" s="264" t="s">
        <v>293</v>
      </c>
      <c r="B13" s="264"/>
      <c r="C13" s="44">
        <v>253</v>
      </c>
      <c r="D13" s="45"/>
      <c r="E13" s="263">
        <v>0</v>
      </c>
      <c r="F13" s="309">
        <f>SUM(G13:M13)</f>
        <v>0</v>
      </c>
      <c r="G13" s="310">
        <v>0</v>
      </c>
      <c r="H13" s="310">
        <v>0</v>
      </c>
      <c r="I13" s="310">
        <v>0</v>
      </c>
      <c r="J13" s="310">
        <v>0</v>
      </c>
      <c r="K13" s="310">
        <v>0</v>
      </c>
      <c r="L13" s="310">
        <v>0</v>
      </c>
      <c r="M13" s="311">
        <v>0</v>
      </c>
      <c r="N13" s="327"/>
    </row>
    <row r="14" spans="1:14">
      <c r="A14" s="40" t="s">
        <v>294</v>
      </c>
      <c r="B14" s="265"/>
      <c r="C14" s="266"/>
      <c r="D14" s="267">
        <f>SUM(D11:D13)</f>
        <v>0</v>
      </c>
      <c r="E14" s="42">
        <f>SUM(E10:E13)</f>
        <v>0</v>
      </c>
      <c r="F14" s="43">
        <f>SUM(F10:F13)</f>
        <v>0</v>
      </c>
      <c r="G14" s="43">
        <f t="shared" ref="G14:M14" si="1">SUM(G10:G13)</f>
        <v>0</v>
      </c>
      <c r="H14" s="43">
        <f t="shared" si="1"/>
        <v>0</v>
      </c>
      <c r="I14" s="43">
        <f t="shared" si="1"/>
        <v>0</v>
      </c>
      <c r="J14" s="43">
        <f t="shared" si="1"/>
        <v>0</v>
      </c>
      <c r="K14" s="43">
        <f t="shared" si="1"/>
        <v>0</v>
      </c>
      <c r="L14" s="43">
        <f t="shared" si="1"/>
        <v>0</v>
      </c>
      <c r="M14" s="43">
        <f t="shared" si="1"/>
        <v>0</v>
      </c>
      <c r="N14" s="325"/>
    </row>
    <row r="15" spans="1:14" s="358" customFormat="1">
      <c r="A15" s="127" t="s">
        <v>356</v>
      </c>
      <c r="B15" s="128"/>
      <c r="C15" s="129"/>
      <c r="D15" s="128"/>
      <c r="E15" s="128"/>
      <c r="F15" s="89"/>
      <c r="G15" s="89"/>
      <c r="H15" s="89"/>
      <c r="I15" s="89"/>
      <c r="J15" s="89"/>
      <c r="K15" s="89"/>
      <c r="L15" s="89"/>
      <c r="M15" s="89"/>
      <c r="N15" s="530"/>
    </row>
    <row r="16" spans="1:14">
      <c r="A16" s="264" t="s">
        <v>296</v>
      </c>
      <c r="B16" s="36"/>
      <c r="C16" s="37" t="s">
        <v>297</v>
      </c>
      <c r="D16" s="38">
        <v>0</v>
      </c>
      <c r="E16" s="263">
        <v>0</v>
      </c>
      <c r="F16" s="309">
        <f t="shared" ref="F16:F29" si="2">SUM(G16:M16)</f>
        <v>0</v>
      </c>
      <c r="G16" s="310">
        <v>0</v>
      </c>
      <c r="H16" s="310">
        <v>0</v>
      </c>
      <c r="I16" s="310">
        <v>0</v>
      </c>
      <c r="J16" s="310">
        <v>0</v>
      </c>
      <c r="K16" s="310">
        <v>0</v>
      </c>
      <c r="L16" s="310">
        <v>0</v>
      </c>
      <c r="M16" s="311">
        <v>0</v>
      </c>
      <c r="N16" s="327"/>
    </row>
    <row r="17" spans="1:14">
      <c r="A17" s="264" t="s">
        <v>298</v>
      </c>
      <c r="B17" s="36"/>
      <c r="C17" s="44" t="s">
        <v>299</v>
      </c>
      <c r="D17" s="45"/>
      <c r="E17" s="263">
        <v>0</v>
      </c>
      <c r="F17" s="309">
        <f t="shared" si="2"/>
        <v>0</v>
      </c>
      <c r="G17" s="310">
        <v>0</v>
      </c>
      <c r="H17" s="310">
        <v>0</v>
      </c>
      <c r="I17" s="310">
        <v>0</v>
      </c>
      <c r="J17" s="310">
        <v>0</v>
      </c>
      <c r="K17" s="310">
        <v>0</v>
      </c>
      <c r="L17" s="310">
        <v>0</v>
      </c>
      <c r="M17" s="311">
        <v>0</v>
      </c>
      <c r="N17" s="325"/>
    </row>
    <row r="18" spans="1:14">
      <c r="A18" s="264" t="s">
        <v>300</v>
      </c>
      <c r="B18" s="36"/>
      <c r="C18" s="44" t="s">
        <v>301</v>
      </c>
      <c r="D18" s="45"/>
      <c r="E18" s="263">
        <v>0</v>
      </c>
      <c r="F18" s="309">
        <f t="shared" si="2"/>
        <v>0</v>
      </c>
      <c r="G18" s="310">
        <v>0</v>
      </c>
      <c r="H18" s="310">
        <v>0</v>
      </c>
      <c r="I18" s="310">
        <v>0</v>
      </c>
      <c r="J18" s="310">
        <v>0</v>
      </c>
      <c r="K18" s="310">
        <v>0</v>
      </c>
      <c r="L18" s="310">
        <v>0</v>
      </c>
      <c r="M18" s="311">
        <v>0</v>
      </c>
      <c r="N18" s="325"/>
    </row>
    <row r="19" spans="1:14" ht="15.05" customHeight="1">
      <c r="A19" s="264" t="s">
        <v>302</v>
      </c>
      <c r="B19" s="36"/>
      <c r="C19" s="44" t="s">
        <v>303</v>
      </c>
      <c r="D19" s="45"/>
      <c r="E19" s="263">
        <v>0</v>
      </c>
      <c r="F19" s="309">
        <f t="shared" si="2"/>
        <v>0</v>
      </c>
      <c r="G19" s="310">
        <v>0</v>
      </c>
      <c r="H19" s="310">
        <v>0</v>
      </c>
      <c r="I19" s="310">
        <v>0</v>
      </c>
      <c r="J19" s="310">
        <v>0</v>
      </c>
      <c r="K19" s="310">
        <v>0</v>
      </c>
      <c r="L19" s="310">
        <v>0</v>
      </c>
      <c r="M19" s="311">
        <v>0</v>
      </c>
      <c r="N19" s="327"/>
    </row>
    <row r="20" spans="1:14">
      <c r="A20" s="264" t="s">
        <v>304</v>
      </c>
      <c r="B20" s="36"/>
      <c r="C20" s="44">
        <v>251</v>
      </c>
      <c r="D20" s="45"/>
      <c r="E20" s="263">
        <v>0</v>
      </c>
      <c r="F20" s="309">
        <f t="shared" si="2"/>
        <v>0</v>
      </c>
      <c r="G20" s="310">
        <v>0</v>
      </c>
      <c r="H20" s="310">
        <v>0</v>
      </c>
      <c r="I20" s="310">
        <v>0</v>
      </c>
      <c r="J20" s="310">
        <v>0</v>
      </c>
      <c r="K20" s="310">
        <v>0</v>
      </c>
      <c r="L20" s="310">
        <v>0</v>
      </c>
      <c r="M20" s="311">
        <v>0</v>
      </c>
      <c r="N20" s="325"/>
    </row>
    <row r="21" spans="1:14">
      <c r="A21" s="264" t="s">
        <v>845</v>
      </c>
      <c r="B21" s="36"/>
      <c r="C21" s="44">
        <v>251</v>
      </c>
      <c r="D21" s="45"/>
      <c r="E21" s="263">
        <v>0</v>
      </c>
      <c r="F21" s="309">
        <f t="shared" si="2"/>
        <v>0</v>
      </c>
      <c r="G21" s="310">
        <v>0</v>
      </c>
      <c r="H21" s="310">
        <v>0</v>
      </c>
      <c r="I21" s="310">
        <v>0</v>
      </c>
      <c r="J21" s="310">
        <v>0</v>
      </c>
      <c r="K21" s="310">
        <v>0</v>
      </c>
      <c r="L21" s="310">
        <v>0</v>
      </c>
      <c r="M21" s="311">
        <v>0</v>
      </c>
      <c r="N21" s="325"/>
    </row>
    <row r="22" spans="1:14">
      <c r="A22" s="264" t="s">
        <v>846</v>
      </c>
      <c r="B22" s="36"/>
      <c r="C22" s="44">
        <v>251</v>
      </c>
      <c r="D22" s="45"/>
      <c r="E22" s="263">
        <v>0</v>
      </c>
      <c r="F22" s="309">
        <f t="shared" si="2"/>
        <v>0</v>
      </c>
      <c r="G22" s="310">
        <v>0</v>
      </c>
      <c r="H22" s="310">
        <v>0</v>
      </c>
      <c r="I22" s="310">
        <v>0</v>
      </c>
      <c r="J22" s="310">
        <v>0</v>
      </c>
      <c r="K22" s="310">
        <v>0</v>
      </c>
      <c r="L22" s="310">
        <v>0</v>
      </c>
      <c r="M22" s="311">
        <v>0</v>
      </c>
      <c r="N22" s="325"/>
    </row>
    <row r="23" spans="1:14">
      <c r="A23" s="264" t="s">
        <v>847</v>
      </c>
      <c r="B23" s="36"/>
      <c r="C23" s="44">
        <v>251</v>
      </c>
      <c r="D23" s="45"/>
      <c r="E23" s="263">
        <v>0</v>
      </c>
      <c r="F23" s="309">
        <f t="shared" si="2"/>
        <v>0</v>
      </c>
      <c r="G23" s="310">
        <v>0</v>
      </c>
      <c r="H23" s="310">
        <v>0</v>
      </c>
      <c r="I23" s="310">
        <v>0</v>
      </c>
      <c r="J23" s="310">
        <v>0</v>
      </c>
      <c r="K23" s="310">
        <v>0</v>
      </c>
      <c r="L23" s="310">
        <v>0</v>
      </c>
      <c r="M23" s="311">
        <v>0</v>
      </c>
      <c r="N23" s="325"/>
    </row>
    <row r="24" spans="1:14">
      <c r="A24" s="264" t="s">
        <v>848</v>
      </c>
      <c r="B24" s="36"/>
      <c r="C24" s="44">
        <v>252</v>
      </c>
      <c r="D24" s="45"/>
      <c r="E24" s="263">
        <v>0</v>
      </c>
      <c r="F24" s="309">
        <f t="shared" si="2"/>
        <v>0</v>
      </c>
      <c r="G24" s="310">
        <v>0</v>
      </c>
      <c r="H24" s="310">
        <v>0</v>
      </c>
      <c r="I24" s="310">
        <v>0</v>
      </c>
      <c r="J24" s="310">
        <v>0</v>
      </c>
      <c r="K24" s="310">
        <v>0</v>
      </c>
      <c r="L24" s="310">
        <f>SUM(150-150)</f>
        <v>0</v>
      </c>
      <c r="M24" s="311">
        <v>0</v>
      </c>
      <c r="N24" s="327"/>
    </row>
    <row r="25" spans="1:14">
      <c r="A25" s="264" t="s">
        <v>314</v>
      </c>
      <c r="B25" s="36"/>
      <c r="C25" s="44">
        <v>252</v>
      </c>
      <c r="D25" s="45"/>
      <c r="E25" s="263">
        <v>0</v>
      </c>
      <c r="F25" s="309">
        <f t="shared" si="2"/>
        <v>0</v>
      </c>
      <c r="G25" s="310">
        <v>0</v>
      </c>
      <c r="H25" s="310">
        <v>0</v>
      </c>
      <c r="I25" s="310">
        <v>0</v>
      </c>
      <c r="J25" s="310">
        <v>0</v>
      </c>
      <c r="K25" s="310">
        <v>0</v>
      </c>
      <c r="L25" s="310">
        <v>0</v>
      </c>
      <c r="M25" s="311">
        <v>0</v>
      </c>
      <c r="N25" s="325"/>
    </row>
    <row r="26" spans="1:14">
      <c r="A26" s="264" t="s">
        <v>317</v>
      </c>
      <c r="B26" s="36"/>
      <c r="C26" s="44">
        <v>256</v>
      </c>
      <c r="D26" s="264"/>
      <c r="E26" s="263">
        <v>0</v>
      </c>
      <c r="F26" s="309">
        <f t="shared" si="2"/>
        <v>0</v>
      </c>
      <c r="G26" s="310">
        <v>0</v>
      </c>
      <c r="H26" s="310">
        <v>0</v>
      </c>
      <c r="I26" s="310">
        <v>0</v>
      </c>
      <c r="J26" s="310">
        <v>0</v>
      </c>
      <c r="K26" s="310">
        <v>0</v>
      </c>
      <c r="L26" s="310">
        <v>0</v>
      </c>
      <c r="M26" s="311">
        <v>0</v>
      </c>
      <c r="N26" s="325"/>
    </row>
    <row r="27" spans="1:14">
      <c r="A27" s="264" t="s">
        <v>318</v>
      </c>
      <c r="B27" s="36"/>
      <c r="C27" s="44">
        <v>257</v>
      </c>
      <c r="D27" s="264"/>
      <c r="E27" s="263">
        <v>0</v>
      </c>
      <c r="F27" s="309">
        <f t="shared" si="2"/>
        <v>0</v>
      </c>
      <c r="G27" s="310">
        <v>0</v>
      </c>
      <c r="H27" s="310">
        <v>0</v>
      </c>
      <c r="I27" s="310">
        <v>0</v>
      </c>
      <c r="J27" s="310">
        <v>0</v>
      </c>
      <c r="K27" s="310">
        <v>0</v>
      </c>
      <c r="L27" s="310">
        <v>0</v>
      </c>
      <c r="M27" s="311">
        <v>0</v>
      </c>
      <c r="N27" s="325"/>
    </row>
    <row r="28" spans="1:14">
      <c r="A28" s="264" t="s">
        <v>319</v>
      </c>
      <c r="B28" s="36"/>
      <c r="C28" s="44" t="s">
        <v>320</v>
      </c>
      <c r="D28" s="264"/>
      <c r="E28" s="263">
        <v>0</v>
      </c>
      <c r="F28" s="309">
        <f t="shared" si="2"/>
        <v>0</v>
      </c>
      <c r="G28" s="310">
        <v>0</v>
      </c>
      <c r="H28" s="310">
        <v>0</v>
      </c>
      <c r="I28" s="310">
        <v>0</v>
      </c>
      <c r="J28" s="310">
        <v>0</v>
      </c>
      <c r="K28" s="310">
        <v>0</v>
      </c>
      <c r="L28" s="310">
        <v>0</v>
      </c>
      <c r="M28" s="311">
        <v>0</v>
      </c>
      <c r="N28" s="531"/>
    </row>
    <row r="29" spans="1:14">
      <c r="A29" s="265" t="s">
        <v>321</v>
      </c>
      <c r="B29" s="36"/>
      <c r="C29" s="266" t="s">
        <v>322</v>
      </c>
      <c r="D29" s="265"/>
      <c r="E29" s="263">
        <v>0</v>
      </c>
      <c r="F29" s="309">
        <f t="shared" si="2"/>
        <v>0</v>
      </c>
      <c r="G29" s="310">
        <v>0</v>
      </c>
      <c r="H29" s="310">
        <v>0</v>
      </c>
      <c r="I29" s="310">
        <v>0</v>
      </c>
      <c r="J29" s="310">
        <v>0</v>
      </c>
      <c r="K29" s="310">
        <v>0</v>
      </c>
      <c r="L29" s="310">
        <v>0</v>
      </c>
      <c r="M29" s="311">
        <v>0</v>
      </c>
      <c r="N29" s="355"/>
    </row>
    <row r="30" spans="1:14">
      <c r="A30" s="40" t="s">
        <v>326</v>
      </c>
      <c r="B30" s="265"/>
      <c r="C30" s="266"/>
      <c r="D30" s="267"/>
      <c r="E30" s="42">
        <f t="shared" ref="E30:M30" si="3">SUM(E16:E29)</f>
        <v>0</v>
      </c>
      <c r="F30" s="43">
        <f>SUM(F16:F29)</f>
        <v>0</v>
      </c>
      <c r="G30" s="43">
        <f t="shared" si="3"/>
        <v>0</v>
      </c>
      <c r="H30" s="43">
        <f t="shared" si="3"/>
        <v>0</v>
      </c>
      <c r="I30" s="43">
        <f t="shared" si="3"/>
        <v>0</v>
      </c>
      <c r="J30" s="43">
        <f t="shared" si="3"/>
        <v>0</v>
      </c>
      <c r="K30" s="43">
        <f t="shared" si="3"/>
        <v>0</v>
      </c>
      <c r="L30" s="43">
        <f t="shared" si="3"/>
        <v>0</v>
      </c>
      <c r="M30" s="43">
        <f t="shared" si="3"/>
        <v>0</v>
      </c>
      <c r="N30" s="325"/>
    </row>
    <row r="31" spans="1:14">
      <c r="A31" s="40" t="s">
        <v>327</v>
      </c>
      <c r="B31" s="51"/>
      <c r="C31" s="149"/>
      <c r="D31" s="267"/>
      <c r="E31" s="241">
        <v>0</v>
      </c>
      <c r="F31" s="240">
        <f>SUM(G31:M31)</f>
        <v>0</v>
      </c>
      <c r="G31" s="240">
        <v>0</v>
      </c>
      <c r="H31" s="240">
        <v>0</v>
      </c>
      <c r="I31" s="240">
        <v>0</v>
      </c>
      <c r="J31" s="240">
        <v>0</v>
      </c>
      <c r="K31" s="240">
        <v>0</v>
      </c>
      <c r="L31" s="240">
        <v>0</v>
      </c>
      <c r="M31" s="43">
        <v>0</v>
      </c>
      <c r="N31" s="325"/>
    </row>
    <row r="32" spans="1:14">
      <c r="A32" s="40" t="s">
        <v>328</v>
      </c>
      <c r="B32" s="46"/>
      <c r="C32" s="47"/>
      <c r="D32" s="48">
        <f>D30+D14+D8+D31</f>
        <v>0</v>
      </c>
      <c r="E32" s="42">
        <f t="shared" ref="E32:M32" si="4">E30+E14+E8-E31</f>
        <v>0</v>
      </c>
      <c r="F32" s="17">
        <f t="shared" si="4"/>
        <v>0</v>
      </c>
      <c r="G32" s="17">
        <f t="shared" si="4"/>
        <v>0</v>
      </c>
      <c r="H32" s="17">
        <f t="shared" si="4"/>
        <v>0</v>
      </c>
      <c r="I32" s="17">
        <f t="shared" si="4"/>
        <v>0</v>
      </c>
      <c r="J32" s="17">
        <f t="shared" si="4"/>
        <v>0</v>
      </c>
      <c r="K32" s="17">
        <f t="shared" si="4"/>
        <v>0</v>
      </c>
      <c r="L32" s="17">
        <f t="shared" si="4"/>
        <v>0</v>
      </c>
      <c r="M32" s="17">
        <f t="shared" si="4"/>
        <v>0</v>
      </c>
      <c r="N32" s="325"/>
    </row>
    <row r="35" spans="1:14" ht="15.6" thickBot="1">
      <c r="A35" s="31"/>
      <c r="B35" s="31"/>
      <c r="C35" s="32"/>
      <c r="D35" s="31"/>
      <c r="E35" s="31"/>
      <c r="F35" s="31"/>
      <c r="G35" s="31"/>
      <c r="H35" s="31"/>
      <c r="I35" s="31"/>
      <c r="J35" s="31"/>
      <c r="K35" s="31"/>
      <c r="L35" s="31"/>
      <c r="M35" s="31"/>
      <c r="N35" s="562"/>
    </row>
    <row r="36" spans="1:14" ht="15.6">
      <c r="A36" s="764" t="s">
        <v>330</v>
      </c>
      <c r="B36" s="765"/>
      <c r="C36" s="765"/>
      <c r="D36" s="765"/>
      <c r="E36" s="765"/>
      <c r="F36" s="765"/>
      <c r="G36" s="581"/>
      <c r="H36" s="31"/>
      <c r="I36" s="31"/>
      <c r="J36" s="31"/>
      <c r="K36" s="31"/>
      <c r="L36" s="31"/>
      <c r="M36" s="31"/>
      <c r="N36" s="562"/>
    </row>
    <row r="37" spans="1:14" ht="15.6">
      <c r="A37" s="738"/>
      <c r="B37" s="739"/>
      <c r="C37" s="739"/>
      <c r="D37" s="739"/>
      <c r="E37" s="739"/>
      <c r="F37" s="739"/>
      <c r="G37" s="582"/>
      <c r="H37" s="31"/>
      <c r="I37" s="31"/>
      <c r="J37" s="31"/>
      <c r="K37" s="31"/>
      <c r="L37" s="31"/>
      <c r="M37" s="31"/>
      <c r="N37" s="562"/>
    </row>
    <row r="38" spans="1:14">
      <c r="A38" s="740" t="s">
        <v>331</v>
      </c>
      <c r="B38" s="741"/>
      <c r="C38" s="583"/>
      <c r="D38" s="583"/>
      <c r="E38" s="583"/>
      <c r="F38" s="583"/>
      <c r="G38" s="582"/>
      <c r="H38" s="31"/>
      <c r="I38" s="31"/>
      <c r="J38" s="31"/>
      <c r="K38" s="31"/>
      <c r="L38" s="31"/>
      <c r="M38" s="31"/>
      <c r="N38" s="562"/>
    </row>
    <row r="39" spans="1:14">
      <c r="A39" s="584" t="s">
        <v>480</v>
      </c>
      <c r="B39" s="585">
        <f>+E32</f>
        <v>0</v>
      </c>
      <c r="C39" s="586"/>
      <c r="D39" s="587"/>
      <c r="E39" s="587"/>
      <c r="F39" s="587"/>
      <c r="G39" s="582"/>
      <c r="H39" s="31"/>
      <c r="I39" s="31"/>
      <c r="J39" s="31"/>
      <c r="K39" s="31"/>
      <c r="L39" s="31"/>
      <c r="M39" s="31"/>
      <c r="N39" s="562"/>
    </row>
    <row r="40" spans="1:14">
      <c r="A40" s="588" t="s">
        <v>481</v>
      </c>
      <c r="B40" s="589">
        <f>+F32</f>
        <v>0</v>
      </c>
      <c r="C40" s="586"/>
      <c r="D40" s="587"/>
      <c r="E40" s="587"/>
      <c r="F40" s="587"/>
      <c r="G40" s="582"/>
      <c r="H40" s="31"/>
      <c r="I40" s="31"/>
      <c r="J40" s="31"/>
      <c r="K40" s="31"/>
      <c r="L40" s="31"/>
      <c r="M40" s="31"/>
      <c r="N40" s="562"/>
    </row>
    <row r="41" spans="1:14">
      <c r="A41" s="590" t="s">
        <v>334</v>
      </c>
      <c r="B41" s="591">
        <f>+B40-B39</f>
        <v>0</v>
      </c>
      <c r="C41" s="586"/>
      <c r="D41" s="587"/>
      <c r="E41" s="587"/>
      <c r="F41" s="587"/>
      <c r="G41" s="582"/>
      <c r="H41" s="31"/>
      <c r="I41" s="31"/>
      <c r="J41" s="31"/>
      <c r="K41" s="31"/>
      <c r="L41" s="31"/>
      <c r="M41" s="31"/>
      <c r="N41" s="562"/>
    </row>
    <row r="42" spans="1:14">
      <c r="A42" s="590" t="s">
        <v>335</v>
      </c>
      <c r="B42" s="592" t="e">
        <f>+B41/B39</f>
        <v>#DIV/0!</v>
      </c>
      <c r="C42" s="586"/>
      <c r="D42" s="587"/>
      <c r="E42" s="587"/>
      <c r="F42" s="587"/>
      <c r="G42" s="582"/>
      <c r="H42" s="31"/>
      <c r="I42" s="31"/>
      <c r="J42" s="31"/>
      <c r="K42" s="31"/>
      <c r="L42" s="31"/>
      <c r="M42" s="31"/>
      <c r="N42" s="562"/>
    </row>
    <row r="43" spans="1:14">
      <c r="A43" s="593"/>
      <c r="B43" s="587"/>
      <c r="C43" s="686"/>
      <c r="D43" s="587"/>
      <c r="E43" s="587"/>
      <c r="F43" s="587"/>
      <c r="G43" s="582"/>
      <c r="H43" s="31"/>
      <c r="I43" s="31"/>
      <c r="J43" s="31"/>
      <c r="K43" s="31"/>
      <c r="L43" s="31"/>
      <c r="M43" s="31"/>
      <c r="N43" s="562"/>
    </row>
    <row r="44" spans="1:14">
      <c r="A44" s="731" t="s">
        <v>336</v>
      </c>
      <c r="B44" s="732"/>
      <c r="C44" s="732"/>
      <c r="D44" s="732"/>
      <c r="E44" s="732"/>
      <c r="F44" s="732"/>
      <c r="G44" s="582"/>
      <c r="H44" s="31"/>
      <c r="I44" s="31"/>
      <c r="J44" s="31"/>
      <c r="K44" s="31"/>
      <c r="L44" s="31"/>
      <c r="M44" s="31"/>
      <c r="N44" s="562"/>
    </row>
    <row r="45" spans="1:14">
      <c r="A45" s="742"/>
      <c r="B45" s="743"/>
      <c r="C45" s="743"/>
      <c r="D45" s="743"/>
      <c r="E45" s="743"/>
      <c r="F45" s="744"/>
      <c r="G45" s="582"/>
      <c r="H45" s="31"/>
      <c r="I45" s="31"/>
      <c r="J45" s="31"/>
      <c r="K45" s="31"/>
      <c r="L45" s="31"/>
      <c r="M45" s="31"/>
      <c r="N45" s="562"/>
    </row>
    <row r="46" spans="1:14">
      <c r="A46" s="594"/>
      <c r="B46" s="595"/>
      <c r="C46" s="595"/>
      <c r="D46" s="595"/>
      <c r="E46" s="595"/>
      <c r="F46" s="595"/>
      <c r="G46" s="582"/>
      <c r="H46" s="31"/>
      <c r="I46" s="31"/>
      <c r="J46" s="31"/>
      <c r="K46" s="31"/>
      <c r="L46" s="31"/>
      <c r="M46" s="31"/>
      <c r="N46" s="562"/>
    </row>
    <row r="47" spans="1:14">
      <c r="A47" s="596" t="s">
        <v>337</v>
      </c>
      <c r="B47" s="587"/>
      <c r="C47" s="686"/>
      <c r="D47" s="587"/>
      <c r="E47" s="587"/>
      <c r="F47" s="587"/>
      <c r="G47" s="582"/>
      <c r="H47" s="31"/>
      <c r="I47" s="31"/>
      <c r="J47" s="31"/>
      <c r="K47" s="31"/>
      <c r="L47" s="31"/>
      <c r="M47" s="31"/>
      <c r="N47" s="562"/>
    </row>
    <row r="48" spans="1:14">
      <c r="A48" s="735"/>
      <c r="B48" s="736"/>
      <c r="C48" s="736"/>
      <c r="D48" s="736"/>
      <c r="E48" s="736"/>
      <c r="F48" s="737"/>
      <c r="G48" s="582"/>
      <c r="H48" s="31"/>
      <c r="I48" s="31"/>
      <c r="J48" s="31"/>
      <c r="K48" s="31"/>
      <c r="L48" s="31"/>
      <c r="M48" s="31"/>
      <c r="N48" s="562"/>
    </row>
    <row r="49" spans="1:14">
      <c r="A49" s="593"/>
      <c r="B49" s="587"/>
      <c r="C49" s="686"/>
      <c r="D49" s="587"/>
      <c r="E49" s="587"/>
      <c r="F49" s="587"/>
      <c r="G49" s="582"/>
      <c r="H49" s="31"/>
      <c r="I49" s="31"/>
      <c r="J49" s="31"/>
      <c r="K49" s="31"/>
      <c r="L49" s="31"/>
      <c r="M49" s="31"/>
      <c r="N49" s="562"/>
    </row>
    <row r="50" spans="1:14">
      <c r="A50" s="731" t="s">
        <v>365</v>
      </c>
      <c r="B50" s="732"/>
      <c r="C50" s="732"/>
      <c r="D50" s="732"/>
      <c r="E50" s="732"/>
      <c r="F50" s="732"/>
      <c r="G50" s="582"/>
      <c r="H50" s="31"/>
      <c r="I50" s="31"/>
      <c r="J50" s="31"/>
      <c r="K50" s="31"/>
      <c r="L50" s="31"/>
      <c r="M50" s="31"/>
      <c r="N50" s="562"/>
    </row>
    <row r="51" spans="1:14">
      <c r="A51" s="733" t="s">
        <v>849</v>
      </c>
      <c r="B51" s="734"/>
      <c r="C51" s="734"/>
      <c r="D51" s="734"/>
      <c r="E51" s="734"/>
      <c r="F51" s="734"/>
      <c r="G51" s="582"/>
      <c r="H51" s="31"/>
      <c r="I51" s="31"/>
      <c r="J51" s="31"/>
      <c r="K51" s="31"/>
      <c r="L51" s="31"/>
      <c r="M51" s="31"/>
      <c r="N51" s="562"/>
    </row>
    <row r="52" spans="1:14">
      <c r="A52" s="735"/>
      <c r="B52" s="736"/>
      <c r="C52" s="736"/>
      <c r="D52" s="736"/>
      <c r="E52" s="736"/>
      <c r="F52" s="737"/>
      <c r="G52" s="582"/>
      <c r="H52" s="31"/>
      <c r="I52" s="31"/>
      <c r="J52" s="31"/>
      <c r="K52" s="31"/>
      <c r="L52" s="31"/>
      <c r="M52" s="31"/>
      <c r="N52" s="562"/>
    </row>
    <row r="53" spans="1:14">
      <c r="A53" s="596"/>
      <c r="B53" s="587"/>
      <c r="C53" s="686"/>
      <c r="D53" s="587"/>
      <c r="E53" s="587"/>
      <c r="F53" s="587"/>
      <c r="G53" s="582"/>
      <c r="H53" s="31"/>
      <c r="I53" s="31"/>
      <c r="J53" s="31"/>
      <c r="K53" s="31"/>
      <c r="L53" s="31"/>
      <c r="M53" s="31"/>
      <c r="N53" s="562"/>
    </row>
    <row r="54" spans="1:14">
      <c r="A54" s="731" t="s">
        <v>340</v>
      </c>
      <c r="B54" s="732"/>
      <c r="C54" s="732"/>
      <c r="D54" s="732"/>
      <c r="E54" s="732"/>
      <c r="F54" s="587"/>
      <c r="G54" s="582"/>
      <c r="H54" s="31"/>
      <c r="I54" s="31"/>
      <c r="J54" s="31"/>
      <c r="K54" s="31"/>
      <c r="L54" s="31"/>
      <c r="M54" s="31"/>
      <c r="N54" s="562"/>
    </row>
    <row r="55" spans="1:14">
      <c r="A55" s="728"/>
      <c r="B55" s="729"/>
      <c r="C55" s="729"/>
      <c r="D55" s="729"/>
      <c r="E55" s="729"/>
      <c r="F55" s="730"/>
      <c r="G55" s="582"/>
      <c r="H55" s="31"/>
      <c r="I55" s="31"/>
      <c r="J55" s="31"/>
      <c r="K55" s="31"/>
      <c r="L55" s="31"/>
      <c r="M55" s="31"/>
      <c r="N55" s="562"/>
    </row>
    <row r="56" spans="1:14">
      <c r="A56" s="593"/>
      <c r="B56" s="587"/>
      <c r="C56" s="686"/>
      <c r="D56" s="587"/>
      <c r="E56" s="587"/>
      <c r="F56" s="587"/>
      <c r="G56" s="582"/>
      <c r="H56" s="31"/>
      <c r="I56" s="31"/>
      <c r="J56" s="31"/>
      <c r="K56" s="31"/>
      <c r="L56" s="31"/>
      <c r="M56" s="31"/>
      <c r="N56" s="562"/>
    </row>
    <row r="57" spans="1:14">
      <c r="A57" s="596" t="s">
        <v>341</v>
      </c>
      <c r="B57" s="587"/>
      <c r="C57" s="686"/>
      <c r="D57" s="587"/>
      <c r="E57" s="587"/>
      <c r="F57" s="587"/>
      <c r="G57" s="582"/>
      <c r="H57" s="31"/>
      <c r="I57" s="31"/>
      <c r="J57" s="31"/>
      <c r="K57" s="31"/>
      <c r="L57" s="31"/>
      <c r="M57" s="31"/>
      <c r="N57" s="562"/>
    </row>
    <row r="58" spans="1:14">
      <c r="A58" s="597" t="s">
        <v>342</v>
      </c>
      <c r="B58" s="587"/>
      <c r="C58" s="686"/>
      <c r="D58" s="587"/>
      <c r="E58" s="587"/>
      <c r="F58" s="587"/>
      <c r="G58" s="582"/>
      <c r="H58" s="31"/>
      <c r="I58" s="31"/>
      <c r="J58" s="31"/>
      <c r="K58" s="31"/>
      <c r="L58" s="31"/>
      <c r="M58" s="31"/>
      <c r="N58" s="562"/>
    </row>
    <row r="59" spans="1:14" ht="26.95" customHeight="1">
      <c r="A59" s="719" t="s">
        <v>368</v>
      </c>
      <c r="B59" s="720"/>
      <c r="C59" s="720"/>
      <c r="D59" s="720"/>
      <c r="E59" s="720"/>
      <c r="F59" s="720"/>
      <c r="G59" s="582"/>
      <c r="H59" s="31"/>
      <c r="I59" s="31"/>
      <c r="J59" s="31"/>
      <c r="K59" s="31"/>
      <c r="L59" s="31"/>
      <c r="M59" s="31"/>
      <c r="N59" s="562"/>
    </row>
    <row r="60" spans="1:14">
      <c r="A60" s="721"/>
      <c r="B60" s="722"/>
      <c r="C60" s="722"/>
      <c r="D60" s="722"/>
      <c r="E60" s="722"/>
      <c r="F60" s="723"/>
      <c r="G60" s="582"/>
      <c r="H60" s="31"/>
      <c r="I60" s="31"/>
      <c r="J60" s="31"/>
      <c r="K60" s="31"/>
      <c r="L60" s="31"/>
      <c r="M60" s="31"/>
      <c r="N60" s="562"/>
    </row>
    <row r="61" spans="1:14">
      <c r="A61" s="724"/>
      <c r="B61" s="725"/>
      <c r="C61" s="725"/>
      <c r="D61" s="725"/>
      <c r="E61" s="725"/>
      <c r="F61" s="725"/>
      <c r="G61" s="582"/>
      <c r="H61" s="31"/>
      <c r="I61" s="31"/>
      <c r="J61" s="31"/>
      <c r="K61" s="31"/>
      <c r="L61" s="31"/>
      <c r="M61" s="31"/>
      <c r="N61" s="562"/>
    </row>
    <row r="62" spans="1:14">
      <c r="A62" s="597" t="s">
        <v>344</v>
      </c>
      <c r="B62" s="587"/>
      <c r="C62" s="686"/>
      <c r="D62" s="587"/>
      <c r="E62" s="587"/>
      <c r="F62" s="587"/>
      <c r="G62" s="582"/>
      <c r="H62" s="31"/>
      <c r="I62" s="31"/>
      <c r="J62" s="31"/>
      <c r="K62" s="31"/>
      <c r="L62" s="31"/>
      <c r="M62" s="31"/>
      <c r="N62" s="562"/>
    </row>
    <row r="63" spans="1:14" ht="28.2" customHeight="1">
      <c r="A63" s="726" t="s">
        <v>345</v>
      </c>
      <c r="B63" s="727"/>
      <c r="C63" s="727"/>
      <c r="D63" s="727"/>
      <c r="E63" s="727"/>
      <c r="F63" s="727"/>
      <c r="G63" s="582"/>
      <c r="H63" s="31"/>
      <c r="I63" s="31"/>
      <c r="J63" s="31"/>
      <c r="K63" s="31"/>
      <c r="L63" s="31"/>
      <c r="M63" s="31"/>
      <c r="N63" s="562"/>
    </row>
    <row r="64" spans="1:14">
      <c r="A64" s="728"/>
      <c r="B64" s="729"/>
      <c r="C64" s="729"/>
      <c r="D64" s="729"/>
      <c r="E64" s="729"/>
      <c r="F64" s="730"/>
      <c r="G64" s="582"/>
      <c r="H64" s="31"/>
      <c r="I64" s="31"/>
      <c r="J64" s="31"/>
      <c r="K64" s="31"/>
      <c r="L64" s="31"/>
      <c r="M64" s="31"/>
      <c r="N64" s="562"/>
    </row>
    <row r="65" spans="1:14" ht="15.6" thickBot="1">
      <c r="A65" s="598"/>
      <c r="B65" s="599"/>
      <c r="C65" s="600"/>
      <c r="D65" s="599"/>
      <c r="E65" s="599"/>
      <c r="F65" s="599"/>
      <c r="G65" s="601"/>
      <c r="H65" s="31"/>
      <c r="I65" s="31"/>
      <c r="J65" s="31"/>
      <c r="K65" s="31"/>
      <c r="L65" s="31"/>
      <c r="M65" s="31"/>
      <c r="N65" s="562"/>
    </row>
    <row r="66" spans="1:14">
      <c r="A66" s="31"/>
      <c r="B66" s="31"/>
      <c r="C66" s="32"/>
      <c r="D66" s="31"/>
      <c r="E66" s="31"/>
      <c r="F66" s="31"/>
      <c r="G66" s="31"/>
      <c r="H66" s="31"/>
      <c r="I66" s="31"/>
      <c r="J66" s="31"/>
      <c r="K66" s="31"/>
      <c r="L66" s="31"/>
      <c r="M66" s="31"/>
      <c r="N66" s="562"/>
    </row>
    <row r="67" spans="1:14">
      <c r="C67" s="687"/>
      <c r="N67" s="565"/>
    </row>
  </sheetData>
  <mergeCells count="17">
    <mergeCell ref="A1:N1"/>
    <mergeCell ref="A36:F36"/>
    <mergeCell ref="A37:F37"/>
    <mergeCell ref="A38:B38"/>
    <mergeCell ref="A44:F44"/>
    <mergeCell ref="A45:F45"/>
    <mergeCell ref="A48:F48"/>
    <mergeCell ref="A50:F50"/>
    <mergeCell ref="A51:F51"/>
    <mergeCell ref="A52:F52"/>
    <mergeCell ref="A63:F63"/>
    <mergeCell ref="A64:F64"/>
    <mergeCell ref="A54:E54"/>
    <mergeCell ref="A55:F55"/>
    <mergeCell ref="A59:F59"/>
    <mergeCell ref="A60:F60"/>
    <mergeCell ref="A61:F6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tint="-0.249977111117893"/>
    <pageSetUpPr fitToPage="1"/>
  </sheetPr>
  <dimension ref="A1:N80"/>
  <sheetViews>
    <sheetView zoomScaleNormal="100" workbookViewId="0">
      <selection sqref="A1:N1"/>
    </sheetView>
  </sheetViews>
  <sheetFormatPr defaultColWidth="9.140625" defaultRowHeight="14.85"/>
  <cols>
    <col min="1" max="1" width="45.85546875" style="151" customWidth="1"/>
    <col min="2" max="2" width="18.7109375" style="151" customWidth="1"/>
    <col min="3" max="3" width="7.7109375" style="152" customWidth="1"/>
    <col min="4" max="4" width="8.7109375" style="151" customWidth="1"/>
    <col min="5" max="5" width="10.7109375" style="151" customWidth="1"/>
    <col min="6" max="6" width="11" style="151" customWidth="1"/>
    <col min="7" max="7" width="9.5703125" style="151" customWidth="1"/>
    <col min="8" max="8" width="8.42578125" style="151" customWidth="1"/>
    <col min="9" max="10" width="7.140625" style="151" customWidth="1"/>
    <col min="11" max="11" width="7.7109375" style="151" customWidth="1"/>
    <col min="12" max="12" width="9.7109375" style="151" customWidth="1"/>
    <col min="13" max="13" width="9.140625" style="151" customWidth="1"/>
    <col min="14" max="14" width="32.140625" style="151" customWidth="1"/>
    <col min="15" max="16384" width="9.140625" style="151"/>
  </cols>
  <sheetData>
    <row r="1" spans="1:14" ht="15.6">
      <c r="A1" s="745" t="s">
        <v>227</v>
      </c>
      <c r="B1" s="745"/>
      <c r="C1" s="745"/>
      <c r="D1" s="745"/>
      <c r="E1" s="745"/>
      <c r="F1" s="745"/>
      <c r="G1" s="745"/>
      <c r="H1" s="745"/>
      <c r="I1" s="745"/>
      <c r="J1" s="745"/>
      <c r="K1" s="745"/>
      <c r="L1" s="745"/>
      <c r="M1" s="745"/>
      <c r="N1" s="745"/>
    </row>
    <row r="2" spans="1:14">
      <c r="A2" s="65" t="s">
        <v>850</v>
      </c>
      <c r="B2" s="381"/>
      <c r="C2" s="687"/>
      <c r="D2" s="381"/>
      <c r="E2" s="381"/>
      <c r="F2" s="381"/>
      <c r="G2" s="381"/>
      <c r="H2" s="381"/>
      <c r="I2" s="381"/>
      <c r="J2" s="381"/>
      <c r="K2" s="381"/>
      <c r="L2" s="381"/>
      <c r="M2" s="381"/>
      <c r="N2" s="381"/>
    </row>
    <row r="3" spans="1:14">
      <c r="A3" s="68" t="s">
        <v>851</v>
      </c>
      <c r="B3" s="381"/>
      <c r="C3" s="687"/>
      <c r="D3" s="381"/>
      <c r="E3" s="554" t="s">
        <v>275</v>
      </c>
      <c r="F3" s="29"/>
      <c r="G3" s="381"/>
      <c r="H3" s="381"/>
      <c r="I3" s="381"/>
      <c r="J3" s="381"/>
      <c r="K3" s="381"/>
      <c r="L3" s="381"/>
      <c r="M3" s="381"/>
      <c r="N3" s="381"/>
    </row>
    <row r="4" spans="1:14">
      <c r="A4" s="65" t="s">
        <v>276</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s="354" customFormat="1">
      <c r="A7" s="36" t="s">
        <v>852</v>
      </c>
      <c r="B7" s="36" t="s">
        <v>853</v>
      </c>
      <c r="C7" s="37" t="s">
        <v>287</v>
      </c>
      <c r="D7" s="38">
        <v>0</v>
      </c>
      <c r="E7" s="263">
        <v>0</v>
      </c>
      <c r="F7" s="309">
        <f t="shared" ref="F7:F12" si="0">SUM(G7:M7)</f>
        <v>0</v>
      </c>
      <c r="G7" s="310">
        <v>0</v>
      </c>
      <c r="H7" s="310">
        <v>0</v>
      </c>
      <c r="I7" s="310">
        <v>0</v>
      </c>
      <c r="J7" s="310">
        <v>0</v>
      </c>
      <c r="K7" s="310">
        <v>0</v>
      </c>
      <c r="L7" s="310">
        <v>0</v>
      </c>
      <c r="M7" s="311">
        <v>0</v>
      </c>
      <c r="N7" s="325" t="s">
        <v>854</v>
      </c>
    </row>
    <row r="8" spans="1:14" s="354" customFormat="1" ht="15.05" customHeight="1">
      <c r="A8" s="36" t="s">
        <v>855</v>
      </c>
      <c r="B8" s="36" t="s">
        <v>856</v>
      </c>
      <c r="C8" s="37" t="s">
        <v>287</v>
      </c>
      <c r="D8" s="39">
        <v>0.25</v>
      </c>
      <c r="E8" s="263">
        <v>0</v>
      </c>
      <c r="F8" s="309">
        <f t="shared" si="0"/>
        <v>0</v>
      </c>
      <c r="G8" s="310">
        <v>0</v>
      </c>
      <c r="H8" s="310">
        <v>0</v>
      </c>
      <c r="I8" s="310">
        <v>0</v>
      </c>
      <c r="J8" s="310">
        <v>0</v>
      </c>
      <c r="K8" s="310">
        <v>0</v>
      </c>
      <c r="L8" s="310">
        <v>0</v>
      </c>
      <c r="M8" s="311">
        <v>0</v>
      </c>
      <c r="N8" s="325" t="s">
        <v>857</v>
      </c>
    </row>
    <row r="9" spans="1:14" s="354" customFormat="1" ht="15.05" customHeight="1">
      <c r="A9" s="36" t="s">
        <v>858</v>
      </c>
      <c r="B9" s="264" t="s">
        <v>859</v>
      </c>
      <c r="C9" s="37" t="s">
        <v>287</v>
      </c>
      <c r="D9" s="39">
        <v>0.5</v>
      </c>
      <c r="E9" s="263">
        <v>0</v>
      </c>
      <c r="F9" s="309">
        <f t="shared" si="0"/>
        <v>0</v>
      </c>
      <c r="G9" s="310">
        <v>0</v>
      </c>
      <c r="H9" s="310">
        <v>0</v>
      </c>
      <c r="I9" s="310">
        <v>0</v>
      </c>
      <c r="J9" s="310">
        <v>0</v>
      </c>
      <c r="K9" s="310">
        <v>0</v>
      </c>
      <c r="L9" s="310">
        <v>0</v>
      </c>
      <c r="M9" s="311">
        <v>0</v>
      </c>
      <c r="N9" s="325" t="s">
        <v>854</v>
      </c>
    </row>
    <row r="10" spans="1:14" s="354" customFormat="1" ht="15.05" customHeight="1">
      <c r="A10" s="36" t="s">
        <v>860</v>
      </c>
      <c r="B10" s="264" t="s">
        <v>861</v>
      </c>
      <c r="C10" s="37" t="s">
        <v>287</v>
      </c>
      <c r="D10" s="39">
        <v>0.25</v>
      </c>
      <c r="E10" s="263">
        <v>0</v>
      </c>
      <c r="F10" s="309">
        <f t="shared" si="0"/>
        <v>0</v>
      </c>
      <c r="G10" s="310">
        <v>0</v>
      </c>
      <c r="H10" s="310">
        <v>0</v>
      </c>
      <c r="I10" s="310">
        <v>0</v>
      </c>
      <c r="J10" s="310">
        <v>0</v>
      </c>
      <c r="K10" s="310">
        <v>0</v>
      </c>
      <c r="L10" s="310">
        <v>0</v>
      </c>
      <c r="M10" s="311">
        <v>0</v>
      </c>
      <c r="N10" s="325" t="s">
        <v>862</v>
      </c>
    </row>
    <row r="11" spans="1:14" ht="103.95">
      <c r="A11" s="36" t="s">
        <v>863</v>
      </c>
      <c r="B11" s="265" t="s">
        <v>1310</v>
      </c>
      <c r="C11" s="37" t="s">
        <v>287</v>
      </c>
      <c r="D11" s="39">
        <v>1</v>
      </c>
      <c r="E11" s="263">
        <v>102</v>
      </c>
      <c r="F11" s="309">
        <f t="shared" si="0"/>
        <v>105</v>
      </c>
      <c r="G11" s="310">
        <v>0</v>
      </c>
      <c r="H11" s="310">
        <v>0</v>
      </c>
      <c r="I11" s="310">
        <v>0</v>
      </c>
      <c r="J11" s="310">
        <v>105</v>
      </c>
      <c r="K11" s="310">
        <v>0</v>
      </c>
      <c r="L11" s="310">
        <v>0</v>
      </c>
      <c r="M11" s="311">
        <v>0</v>
      </c>
      <c r="N11" s="325" t="s">
        <v>865</v>
      </c>
    </row>
    <row r="12" spans="1:14" ht="103.95">
      <c r="A12" s="36" t="s">
        <v>863</v>
      </c>
      <c r="B12" s="265" t="s">
        <v>1311</v>
      </c>
      <c r="C12" s="37" t="s">
        <v>287</v>
      </c>
      <c r="D12" s="39">
        <v>1</v>
      </c>
      <c r="E12" s="263">
        <v>102</v>
      </c>
      <c r="F12" s="309">
        <f t="shared" si="0"/>
        <v>105</v>
      </c>
      <c r="G12" s="310">
        <v>0</v>
      </c>
      <c r="H12" s="310">
        <v>0</v>
      </c>
      <c r="I12" s="310">
        <v>0</v>
      </c>
      <c r="J12" s="310">
        <v>105</v>
      </c>
      <c r="K12" s="310">
        <v>0</v>
      </c>
      <c r="L12" s="310">
        <v>0</v>
      </c>
      <c r="M12" s="311">
        <v>0</v>
      </c>
      <c r="N12" s="325" t="s">
        <v>865</v>
      </c>
    </row>
    <row r="13" spans="1:14">
      <c r="A13" s="36" t="s">
        <v>286</v>
      </c>
      <c r="B13" s="264"/>
      <c r="C13" s="37" t="s">
        <v>287</v>
      </c>
      <c r="D13" s="39"/>
      <c r="E13" s="263">
        <v>0</v>
      </c>
      <c r="F13" s="309">
        <f>SUM(G13:M13)</f>
        <v>0</v>
      </c>
      <c r="G13" s="310">
        <v>0</v>
      </c>
      <c r="H13" s="310">
        <v>0</v>
      </c>
      <c r="I13" s="310">
        <v>0</v>
      </c>
      <c r="J13" s="310">
        <v>0</v>
      </c>
      <c r="K13" s="310">
        <v>0</v>
      </c>
      <c r="L13" s="310">
        <v>0</v>
      </c>
      <c r="M13" s="311">
        <v>0</v>
      </c>
      <c r="N13" s="355"/>
    </row>
    <row r="14" spans="1:14">
      <c r="A14" s="36" t="s">
        <v>286</v>
      </c>
      <c r="B14" s="264"/>
      <c r="C14" s="37" t="s">
        <v>287</v>
      </c>
      <c r="D14" s="39"/>
      <c r="E14" s="263">
        <v>0</v>
      </c>
      <c r="F14" s="309">
        <f>SUM(G14:M14)</f>
        <v>0</v>
      </c>
      <c r="G14" s="310">
        <v>0</v>
      </c>
      <c r="H14" s="310">
        <v>0</v>
      </c>
      <c r="I14" s="310">
        <v>0</v>
      </c>
      <c r="J14" s="310">
        <v>0</v>
      </c>
      <c r="K14" s="310">
        <v>0</v>
      </c>
      <c r="L14" s="310">
        <v>0</v>
      </c>
      <c r="M14" s="311">
        <v>0</v>
      </c>
      <c r="N14" s="355"/>
    </row>
    <row r="15" spans="1:14">
      <c r="A15" s="36" t="s">
        <v>286</v>
      </c>
      <c r="B15" s="265"/>
      <c r="C15" s="37" t="s">
        <v>287</v>
      </c>
      <c r="D15" s="39"/>
      <c r="E15" s="263">
        <v>0</v>
      </c>
      <c r="F15" s="309">
        <f>SUM(G15:M15)</f>
        <v>0</v>
      </c>
      <c r="G15" s="310">
        <v>0</v>
      </c>
      <c r="H15" s="310">
        <v>0</v>
      </c>
      <c r="I15" s="310">
        <v>0</v>
      </c>
      <c r="J15" s="310">
        <v>0</v>
      </c>
      <c r="K15" s="310">
        <v>0</v>
      </c>
      <c r="L15" s="310">
        <v>0</v>
      </c>
      <c r="M15" s="311">
        <v>0</v>
      </c>
      <c r="N15" s="355"/>
    </row>
    <row r="16" spans="1:14">
      <c r="A16" s="40" t="s">
        <v>288</v>
      </c>
      <c r="B16" s="265"/>
      <c r="C16" s="266"/>
      <c r="D16" s="41">
        <f t="shared" ref="D16:M16" si="1">SUM(D7:D15)</f>
        <v>3</v>
      </c>
      <c r="E16" s="42">
        <f t="shared" si="1"/>
        <v>204</v>
      </c>
      <c r="F16" s="43">
        <f t="shared" si="1"/>
        <v>210</v>
      </c>
      <c r="G16" s="43">
        <f t="shared" si="1"/>
        <v>0</v>
      </c>
      <c r="H16" s="43">
        <f t="shared" si="1"/>
        <v>0</v>
      </c>
      <c r="I16" s="43">
        <f t="shared" si="1"/>
        <v>0</v>
      </c>
      <c r="J16" s="43">
        <f t="shared" si="1"/>
        <v>210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c r="A18" s="264" t="s">
        <v>384</v>
      </c>
      <c r="B18" s="264"/>
      <c r="C18" s="44">
        <v>253</v>
      </c>
      <c r="D18" s="45"/>
      <c r="E18" s="263"/>
      <c r="F18" s="357"/>
      <c r="G18" s="310"/>
      <c r="H18" s="310"/>
      <c r="I18" s="310"/>
      <c r="J18" s="310"/>
      <c r="K18" s="310">
        <v>0</v>
      </c>
      <c r="L18" s="310">
        <v>0</v>
      </c>
      <c r="M18" s="311">
        <v>0</v>
      </c>
      <c r="N18" s="327"/>
    </row>
    <row r="19" spans="1:14">
      <c r="A19" s="264" t="s">
        <v>379</v>
      </c>
      <c r="B19" s="264"/>
      <c r="C19" s="44">
        <v>253</v>
      </c>
      <c r="D19" s="45"/>
      <c r="E19" s="263"/>
      <c r="F19" s="357"/>
      <c r="G19" s="310"/>
      <c r="H19" s="310"/>
      <c r="I19" s="310"/>
      <c r="J19" s="310"/>
      <c r="K19" s="310">
        <v>0</v>
      </c>
      <c r="L19" s="310">
        <v>0</v>
      </c>
      <c r="M19" s="311">
        <v>0</v>
      </c>
      <c r="N19" s="326"/>
    </row>
    <row r="20" spans="1:14">
      <c r="A20" s="264" t="s">
        <v>379</v>
      </c>
      <c r="B20" s="264"/>
      <c r="C20" s="44">
        <v>253</v>
      </c>
      <c r="D20" s="267"/>
      <c r="E20" s="263"/>
      <c r="F20" s="357"/>
      <c r="G20" s="310"/>
      <c r="H20" s="310"/>
      <c r="I20" s="310"/>
      <c r="J20" s="310"/>
      <c r="K20" s="310">
        <v>0</v>
      </c>
      <c r="L20" s="310">
        <v>0</v>
      </c>
      <c r="M20" s="311">
        <v>0</v>
      </c>
      <c r="N20" s="355"/>
    </row>
    <row r="21" spans="1:14" s="7" customFormat="1">
      <c r="A21" s="264" t="s">
        <v>427</v>
      </c>
      <c r="B21" s="264"/>
      <c r="C21" s="44">
        <v>253</v>
      </c>
      <c r="D21" s="267"/>
      <c r="E21" s="263"/>
      <c r="F21" s="357"/>
      <c r="G21" s="310"/>
      <c r="H21" s="310"/>
      <c r="I21" s="310"/>
      <c r="J21" s="310"/>
      <c r="K21" s="310">
        <v>0</v>
      </c>
      <c r="L21" s="310">
        <v>0</v>
      </c>
      <c r="M21" s="311">
        <v>0</v>
      </c>
      <c r="N21" s="326"/>
    </row>
    <row r="22" spans="1:14">
      <c r="A22" s="40" t="s">
        <v>294</v>
      </c>
      <c r="B22" s="265"/>
      <c r="C22" s="266"/>
      <c r="D22" s="267">
        <f>SUM(D18:D21)</f>
        <v>0</v>
      </c>
      <c r="E22" s="42">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7" customFormat="1">
      <c r="A23" s="69" t="s">
        <v>295</v>
      </c>
      <c r="B23" s="70"/>
      <c r="C23" s="71"/>
      <c r="D23" s="70"/>
      <c r="E23" s="70"/>
      <c r="F23" s="72"/>
      <c r="G23" s="72"/>
      <c r="H23" s="72"/>
      <c r="I23" s="72"/>
      <c r="J23" s="72"/>
      <c r="K23" s="72"/>
      <c r="L23" s="72"/>
      <c r="M23" s="72"/>
      <c r="N23" s="72"/>
    </row>
    <row r="24" spans="1:14" s="354" customFormat="1" ht="74.25">
      <c r="A24" s="264" t="s">
        <v>296</v>
      </c>
      <c r="B24" s="36"/>
      <c r="C24" s="37" t="s">
        <v>297</v>
      </c>
      <c r="D24" s="38">
        <v>0</v>
      </c>
      <c r="E24" s="263">
        <v>20</v>
      </c>
      <c r="F24" s="309">
        <f t="shared" ref="F24:F38" si="3">SUM(G24:M24)</f>
        <v>20</v>
      </c>
      <c r="G24" s="310">
        <v>0</v>
      </c>
      <c r="H24" s="310">
        <v>0</v>
      </c>
      <c r="I24" s="310">
        <v>0</v>
      </c>
      <c r="J24" s="310">
        <v>20</v>
      </c>
      <c r="K24" s="310">
        <v>0</v>
      </c>
      <c r="L24" s="310">
        <v>0</v>
      </c>
      <c r="M24" s="311">
        <v>0</v>
      </c>
      <c r="N24" s="325" t="s">
        <v>866</v>
      </c>
    </row>
    <row r="25" spans="1:14" s="354" customFormat="1">
      <c r="A25" s="264" t="s">
        <v>298</v>
      </c>
      <c r="B25" s="36"/>
      <c r="C25" s="44" t="s">
        <v>299</v>
      </c>
      <c r="D25" s="45"/>
      <c r="E25" s="263">
        <v>0</v>
      </c>
      <c r="F25" s="309">
        <f t="shared" si="3"/>
        <v>0</v>
      </c>
      <c r="G25" s="310">
        <v>0</v>
      </c>
      <c r="H25" s="310">
        <v>0</v>
      </c>
      <c r="I25" s="310">
        <v>0</v>
      </c>
      <c r="J25" s="310">
        <v>0</v>
      </c>
      <c r="K25" s="310">
        <v>0</v>
      </c>
      <c r="L25" s="310">
        <v>0</v>
      </c>
      <c r="M25" s="311">
        <v>0</v>
      </c>
      <c r="N25" s="325"/>
    </row>
    <row r="26" spans="1:14" s="354" customFormat="1" ht="103.95">
      <c r="A26" s="264" t="s">
        <v>300</v>
      </c>
      <c r="B26" s="36" t="s">
        <v>867</v>
      </c>
      <c r="C26" s="44" t="s">
        <v>301</v>
      </c>
      <c r="D26" s="45"/>
      <c r="E26" s="263">
        <v>77</v>
      </c>
      <c r="F26" s="309">
        <f t="shared" si="3"/>
        <v>124</v>
      </c>
      <c r="G26" s="310">
        <v>0</v>
      </c>
      <c r="H26" s="310">
        <v>0</v>
      </c>
      <c r="I26" s="310">
        <v>0</v>
      </c>
      <c r="J26" s="310">
        <v>124</v>
      </c>
      <c r="K26" s="310">
        <v>0</v>
      </c>
      <c r="L26" s="310">
        <v>0</v>
      </c>
      <c r="M26" s="311">
        <v>0</v>
      </c>
      <c r="N26" s="325" t="s">
        <v>868</v>
      </c>
    </row>
    <row r="27" spans="1:14" s="354" customFormat="1">
      <c r="A27" s="264" t="s">
        <v>302</v>
      </c>
      <c r="B27" s="36"/>
      <c r="C27" s="44" t="s">
        <v>303</v>
      </c>
      <c r="D27" s="45"/>
      <c r="E27" s="263">
        <v>2</v>
      </c>
      <c r="F27" s="309">
        <f t="shared" si="3"/>
        <v>2</v>
      </c>
      <c r="G27" s="310">
        <v>0</v>
      </c>
      <c r="H27" s="310">
        <v>0</v>
      </c>
      <c r="I27" s="310">
        <v>0</v>
      </c>
      <c r="J27" s="310">
        <v>2</v>
      </c>
      <c r="K27" s="310">
        <v>0</v>
      </c>
      <c r="L27" s="310">
        <v>0</v>
      </c>
      <c r="M27" s="311">
        <v>0</v>
      </c>
      <c r="N27" s="325" t="s">
        <v>869</v>
      </c>
    </row>
    <row r="28" spans="1:14" s="354" customFormat="1" ht="44.55">
      <c r="A28" s="264" t="s">
        <v>304</v>
      </c>
      <c r="B28" s="382" t="s">
        <v>870</v>
      </c>
      <c r="C28" s="44">
        <v>251</v>
      </c>
      <c r="D28" s="45"/>
      <c r="E28" s="263">
        <v>25</v>
      </c>
      <c r="F28" s="309">
        <f t="shared" si="3"/>
        <v>25</v>
      </c>
      <c r="G28" s="310">
        <v>0</v>
      </c>
      <c r="H28" s="310">
        <v>0</v>
      </c>
      <c r="I28" s="310">
        <v>0</v>
      </c>
      <c r="J28" s="310">
        <v>25</v>
      </c>
      <c r="K28" s="310">
        <v>0</v>
      </c>
      <c r="L28" s="310">
        <v>0</v>
      </c>
      <c r="M28" s="311">
        <v>0</v>
      </c>
      <c r="N28" s="325" t="s">
        <v>871</v>
      </c>
    </row>
    <row r="29" spans="1:14" s="381" customFormat="1">
      <c r="A29" s="555" t="s">
        <v>304</v>
      </c>
      <c r="B29" s="57" t="s">
        <v>872</v>
      </c>
      <c r="C29" s="628">
        <v>251</v>
      </c>
      <c r="D29" s="45"/>
      <c r="E29" s="263">
        <v>0</v>
      </c>
      <c r="F29" s="357">
        <f t="shared" si="3"/>
        <v>15</v>
      </c>
      <c r="G29" s="310">
        <v>0</v>
      </c>
      <c r="H29" s="310">
        <v>0</v>
      </c>
      <c r="I29" s="310">
        <v>0</v>
      </c>
      <c r="J29" s="310">
        <v>15</v>
      </c>
      <c r="K29" s="310">
        <v>0</v>
      </c>
      <c r="L29" s="310">
        <v>0</v>
      </c>
      <c r="M29" s="311">
        <v>0</v>
      </c>
      <c r="N29" s="643" t="s">
        <v>873</v>
      </c>
    </row>
    <row r="30" spans="1:14" s="354" customFormat="1" ht="163.30000000000001">
      <c r="A30" s="264" t="s">
        <v>313</v>
      </c>
      <c r="B30" s="36"/>
      <c r="C30" s="44">
        <v>252</v>
      </c>
      <c r="D30" s="45"/>
      <c r="E30" s="263">
        <v>230</v>
      </c>
      <c r="F30" s="309">
        <f t="shared" si="3"/>
        <v>236</v>
      </c>
      <c r="G30" s="310">
        <v>0</v>
      </c>
      <c r="H30" s="310">
        <v>0</v>
      </c>
      <c r="I30" s="310">
        <v>0</v>
      </c>
      <c r="J30" s="310">
        <f>201+35</f>
        <v>236</v>
      </c>
      <c r="K30" s="310">
        <f>35-35</f>
        <v>0</v>
      </c>
      <c r="L30" s="310">
        <v>0</v>
      </c>
      <c r="M30" s="311">
        <v>0</v>
      </c>
      <c r="N30" s="327" t="s">
        <v>874</v>
      </c>
    </row>
    <row r="31" spans="1:14" s="354" customFormat="1">
      <c r="A31" s="264" t="s">
        <v>430</v>
      </c>
      <c r="B31" s="36"/>
      <c r="C31" s="44">
        <v>252</v>
      </c>
      <c r="D31" s="45"/>
      <c r="E31" s="263">
        <v>0</v>
      </c>
      <c r="F31" s="309">
        <f t="shared" si="3"/>
        <v>0</v>
      </c>
      <c r="G31" s="310">
        <v>0</v>
      </c>
      <c r="H31" s="310">
        <v>0</v>
      </c>
      <c r="I31" s="310">
        <v>0</v>
      </c>
      <c r="J31" s="310">
        <v>0</v>
      </c>
      <c r="K31" s="310">
        <v>0</v>
      </c>
      <c r="L31" s="310">
        <v>0</v>
      </c>
      <c r="M31" s="311">
        <v>0</v>
      </c>
      <c r="N31" s="325"/>
    </row>
    <row r="32" spans="1:14" s="354" customFormat="1">
      <c r="A32" s="264" t="s">
        <v>315</v>
      </c>
      <c r="B32" s="36"/>
      <c r="C32" s="44">
        <v>253</v>
      </c>
      <c r="D32" s="264"/>
      <c r="E32" s="263">
        <v>0</v>
      </c>
      <c r="F32" s="309">
        <f t="shared" si="3"/>
        <v>0</v>
      </c>
      <c r="G32" s="310">
        <v>0</v>
      </c>
      <c r="H32" s="310">
        <v>0</v>
      </c>
      <c r="I32" s="310">
        <v>0</v>
      </c>
      <c r="J32" s="310">
        <v>0</v>
      </c>
      <c r="K32" s="310">
        <v>0</v>
      </c>
      <c r="L32" s="310">
        <v>0</v>
      </c>
      <c r="M32" s="311">
        <v>0</v>
      </c>
      <c r="N32" s="325"/>
    </row>
    <row r="33" spans="1:14" s="354" customFormat="1">
      <c r="A33" s="264" t="s">
        <v>316</v>
      </c>
      <c r="B33" s="36"/>
      <c r="C33" s="44">
        <v>255</v>
      </c>
      <c r="D33" s="264"/>
      <c r="E33" s="263">
        <v>0</v>
      </c>
      <c r="F33" s="309">
        <f t="shared" si="3"/>
        <v>0</v>
      </c>
      <c r="G33" s="310">
        <v>0</v>
      </c>
      <c r="H33" s="310">
        <v>0</v>
      </c>
      <c r="I33" s="310">
        <v>0</v>
      </c>
      <c r="J33" s="310">
        <v>0</v>
      </c>
      <c r="K33" s="310">
        <v>0</v>
      </c>
      <c r="L33" s="310">
        <v>0</v>
      </c>
      <c r="M33" s="311">
        <v>0</v>
      </c>
      <c r="N33" s="325"/>
    </row>
    <row r="34" spans="1:14" s="354" customFormat="1">
      <c r="A34" s="264" t="s">
        <v>317</v>
      </c>
      <c r="B34" s="36"/>
      <c r="C34" s="44">
        <v>256</v>
      </c>
      <c r="D34" s="264"/>
      <c r="E34" s="263">
        <v>0</v>
      </c>
      <c r="F34" s="309">
        <f t="shared" si="3"/>
        <v>0</v>
      </c>
      <c r="G34" s="310">
        <v>0</v>
      </c>
      <c r="H34" s="310">
        <v>0</v>
      </c>
      <c r="I34" s="310">
        <v>0</v>
      </c>
      <c r="J34" s="310">
        <v>0</v>
      </c>
      <c r="K34" s="310">
        <v>0</v>
      </c>
      <c r="L34" s="310">
        <v>0</v>
      </c>
      <c r="M34" s="311">
        <v>0</v>
      </c>
      <c r="N34" s="325"/>
    </row>
    <row r="35" spans="1:14" s="354" customFormat="1">
      <c r="A35" s="264" t="s">
        <v>318</v>
      </c>
      <c r="B35" s="36"/>
      <c r="C35" s="44">
        <v>257</v>
      </c>
      <c r="D35" s="264"/>
      <c r="E35" s="263">
        <v>0</v>
      </c>
      <c r="F35" s="309">
        <f t="shared" si="3"/>
        <v>0</v>
      </c>
      <c r="G35" s="310">
        <v>0</v>
      </c>
      <c r="H35" s="310">
        <v>0</v>
      </c>
      <c r="I35" s="310">
        <v>0</v>
      </c>
      <c r="J35" s="310">
        <v>0</v>
      </c>
      <c r="K35" s="310">
        <v>0</v>
      </c>
      <c r="L35" s="310">
        <v>0</v>
      </c>
      <c r="M35" s="311">
        <v>0</v>
      </c>
      <c r="N35" s="325"/>
    </row>
    <row r="36" spans="1:14" s="354" customFormat="1">
      <c r="A36" s="264" t="s">
        <v>319</v>
      </c>
      <c r="B36" s="36"/>
      <c r="C36" s="44" t="s">
        <v>320</v>
      </c>
      <c r="D36" s="264"/>
      <c r="E36" s="263">
        <v>2</v>
      </c>
      <c r="F36" s="309">
        <f t="shared" si="3"/>
        <v>2</v>
      </c>
      <c r="G36" s="310">
        <v>0</v>
      </c>
      <c r="H36" s="310">
        <v>0</v>
      </c>
      <c r="I36" s="310">
        <v>0</v>
      </c>
      <c r="J36" s="310">
        <v>2</v>
      </c>
      <c r="K36" s="310">
        <v>0</v>
      </c>
      <c r="L36" s="310">
        <v>0</v>
      </c>
      <c r="M36" s="311">
        <v>0</v>
      </c>
      <c r="N36" s="325" t="s">
        <v>875</v>
      </c>
    </row>
    <row r="37" spans="1:14" s="354" customFormat="1">
      <c r="A37" s="265" t="s">
        <v>321</v>
      </c>
      <c r="B37" s="36"/>
      <c r="C37" s="266" t="s">
        <v>322</v>
      </c>
      <c r="D37" s="265"/>
      <c r="E37" s="263">
        <v>0</v>
      </c>
      <c r="F37" s="309">
        <f t="shared" si="3"/>
        <v>0</v>
      </c>
      <c r="G37" s="310">
        <v>0</v>
      </c>
      <c r="H37" s="310">
        <v>0</v>
      </c>
      <c r="I37" s="310">
        <v>0</v>
      </c>
      <c r="J37" s="310">
        <v>0</v>
      </c>
      <c r="K37" s="310">
        <v>0</v>
      </c>
      <c r="L37" s="310">
        <v>0</v>
      </c>
      <c r="M37" s="311">
        <v>0</v>
      </c>
      <c r="N37" s="325"/>
    </row>
    <row r="38" spans="1:14" s="381" customFormat="1" ht="74.25">
      <c r="A38" s="265" t="s">
        <v>323</v>
      </c>
      <c r="B38" s="390"/>
      <c r="C38" s="266" t="s">
        <v>324</v>
      </c>
      <c r="D38" s="265"/>
      <c r="E38" s="318">
        <v>-19</v>
      </c>
      <c r="F38" s="309">
        <f t="shared" si="3"/>
        <v>0</v>
      </c>
      <c r="G38" s="319">
        <v>0</v>
      </c>
      <c r="H38" s="319">
        <v>0</v>
      </c>
      <c r="I38" s="319">
        <v>0</v>
      </c>
      <c r="J38" s="319">
        <v>0</v>
      </c>
      <c r="K38" s="319">
        <v>0</v>
      </c>
      <c r="L38" s="319">
        <v>0</v>
      </c>
      <c r="M38" s="320">
        <v>0</v>
      </c>
      <c r="N38" s="325" t="s">
        <v>876</v>
      </c>
    </row>
    <row r="39" spans="1:14">
      <c r="A39" s="40" t="s">
        <v>326</v>
      </c>
      <c r="B39" s="265"/>
      <c r="C39" s="266"/>
      <c r="D39" s="267"/>
      <c r="E39" s="42">
        <f t="shared" ref="E39:M39" si="4">SUM(E24:E38)</f>
        <v>337</v>
      </c>
      <c r="F39" s="43">
        <f t="shared" si="4"/>
        <v>424</v>
      </c>
      <c r="G39" s="43">
        <f t="shared" si="4"/>
        <v>0</v>
      </c>
      <c r="H39" s="43">
        <f t="shared" si="4"/>
        <v>0</v>
      </c>
      <c r="I39" s="43">
        <f t="shared" si="4"/>
        <v>0</v>
      </c>
      <c r="J39" s="43">
        <f t="shared" si="4"/>
        <v>424</v>
      </c>
      <c r="K39" s="43">
        <f t="shared" si="4"/>
        <v>0</v>
      </c>
      <c r="L39" s="43">
        <f t="shared" si="4"/>
        <v>0</v>
      </c>
      <c r="M39" s="43">
        <f t="shared" si="4"/>
        <v>0</v>
      </c>
      <c r="N39" s="355"/>
    </row>
    <row r="40" spans="1:14">
      <c r="A40" s="40" t="s">
        <v>327</v>
      </c>
      <c r="B40" s="51"/>
      <c r="C40" s="149"/>
      <c r="D40" s="267"/>
      <c r="E40" s="241">
        <v>0</v>
      </c>
      <c r="F40" s="240"/>
      <c r="G40" s="240"/>
      <c r="H40" s="240"/>
      <c r="I40" s="240"/>
      <c r="J40" s="240">
        <v>0</v>
      </c>
      <c r="K40" s="240"/>
      <c r="L40" s="240"/>
      <c r="M40" s="240"/>
      <c r="N40" s="355"/>
    </row>
    <row r="41" spans="1:14">
      <c r="A41" s="40" t="s">
        <v>328</v>
      </c>
      <c r="B41" s="46"/>
      <c r="C41" s="47"/>
      <c r="D41" s="48">
        <f>D39+D22+D16</f>
        <v>3</v>
      </c>
      <c r="E41" s="42">
        <f t="shared" ref="E41:M41" si="5">E39+E22+E16-E40</f>
        <v>541</v>
      </c>
      <c r="F41" s="42">
        <f t="shared" si="5"/>
        <v>634</v>
      </c>
      <c r="G41" s="42">
        <f t="shared" si="5"/>
        <v>0</v>
      </c>
      <c r="H41" s="42">
        <f t="shared" si="5"/>
        <v>0</v>
      </c>
      <c r="I41" s="42">
        <f t="shared" si="5"/>
        <v>0</v>
      </c>
      <c r="J41" s="42">
        <f t="shared" si="5"/>
        <v>634</v>
      </c>
      <c r="K41" s="42">
        <f t="shared" si="5"/>
        <v>0</v>
      </c>
      <c r="L41" s="42">
        <f t="shared" si="5"/>
        <v>0</v>
      </c>
      <c r="M41" s="42">
        <f t="shared" si="5"/>
        <v>0</v>
      </c>
      <c r="N41" s="253"/>
    </row>
    <row r="42" spans="1:14">
      <c r="A42" s="379" t="s">
        <v>391</v>
      </c>
      <c r="B42" s="381"/>
      <c r="C42" s="29"/>
      <c r="D42" s="221"/>
      <c r="E42" s="55">
        <f>+E41-C46</f>
        <v>456</v>
      </c>
      <c r="F42" s="55">
        <f>F41-B44</f>
        <v>549</v>
      </c>
      <c r="G42" s="381"/>
      <c r="H42" s="381"/>
      <c r="I42" s="381"/>
      <c r="J42" s="381"/>
      <c r="K42" s="381"/>
      <c r="L42" s="381"/>
      <c r="M42" s="381"/>
      <c r="N42" s="381"/>
    </row>
    <row r="43" spans="1:14">
      <c r="A43" s="56" t="s">
        <v>392</v>
      </c>
      <c r="B43" s="687" t="s">
        <v>393</v>
      </c>
      <c r="C43" s="381" t="s">
        <v>359</v>
      </c>
      <c r="D43" s="381"/>
      <c r="E43" s="381"/>
      <c r="F43" s="381"/>
      <c r="G43" s="381"/>
      <c r="H43" s="381"/>
      <c r="I43" s="381"/>
      <c r="J43" s="381"/>
      <c r="K43" s="381"/>
      <c r="L43" s="381"/>
      <c r="M43" s="381"/>
      <c r="N43" s="381"/>
    </row>
    <row r="44" spans="1:14">
      <c r="A44" s="57" t="s">
        <v>394</v>
      </c>
      <c r="B44" s="58">
        <v>85</v>
      </c>
      <c r="C44" s="58">
        <v>85</v>
      </c>
      <c r="D44" s="381"/>
      <c r="E44" s="381"/>
      <c r="F44" s="381"/>
      <c r="G44" s="381"/>
      <c r="H44" s="262"/>
      <c r="I44" s="381"/>
      <c r="J44" s="381"/>
      <c r="K44" s="381"/>
      <c r="L44" s="381"/>
      <c r="M44" s="381"/>
      <c r="N44" s="381"/>
    </row>
    <row r="45" spans="1:14">
      <c r="A45" s="264" t="s">
        <v>396</v>
      </c>
      <c r="B45" s="59">
        <v>0</v>
      </c>
      <c r="C45" s="59">
        <v>0</v>
      </c>
      <c r="D45" s="381"/>
      <c r="E45" s="381"/>
      <c r="F45" s="381"/>
      <c r="G45" s="381"/>
      <c r="H45" s="381"/>
      <c r="I45" s="381"/>
      <c r="J45" s="381"/>
      <c r="K45" s="381"/>
      <c r="L45" s="381"/>
      <c r="M45" s="381"/>
      <c r="N45" s="381"/>
    </row>
    <row r="46" spans="1:14">
      <c r="A46" s="60" t="s">
        <v>877</v>
      </c>
      <c r="B46" s="61">
        <f>B44-B45</f>
        <v>85</v>
      </c>
      <c r="C46" s="61">
        <f>+C44-C45</f>
        <v>85</v>
      </c>
      <c r="D46" s="381"/>
      <c r="E46" s="381"/>
      <c r="F46" s="381"/>
      <c r="G46" s="381"/>
      <c r="H46" s="381"/>
      <c r="I46" s="381"/>
      <c r="J46" s="381"/>
      <c r="K46" s="381"/>
      <c r="L46" s="381"/>
      <c r="M46" s="381"/>
      <c r="N46" s="381"/>
    </row>
    <row r="47" spans="1:14">
      <c r="A47" s="56"/>
      <c r="B47" s="381"/>
      <c r="C47" s="687"/>
      <c r="D47" s="381"/>
      <c r="E47" s="381"/>
      <c r="F47" s="381"/>
      <c r="G47" s="381"/>
      <c r="H47" s="381"/>
      <c r="I47" s="381"/>
      <c r="J47" s="381"/>
      <c r="K47" s="381"/>
      <c r="L47" s="381"/>
      <c r="M47" s="381"/>
      <c r="N47" s="381"/>
    </row>
    <row r="49" spans="1:14" s="381" customFormat="1" ht="15.6" thickBot="1">
      <c r="A49" s="31"/>
      <c r="B49" s="31"/>
      <c r="C49" s="32"/>
      <c r="D49" s="31"/>
      <c r="E49" s="31"/>
      <c r="F49" s="31"/>
      <c r="G49" s="31"/>
      <c r="H49" s="31"/>
      <c r="I49" s="31"/>
      <c r="J49" s="31"/>
      <c r="K49" s="31"/>
      <c r="L49" s="31"/>
      <c r="M49" s="31"/>
      <c r="N49" s="562"/>
    </row>
    <row r="50" spans="1:14" s="381" customFormat="1" ht="15.6">
      <c r="A50" s="764" t="s">
        <v>330</v>
      </c>
      <c r="B50" s="765"/>
      <c r="C50" s="765"/>
      <c r="D50" s="765"/>
      <c r="E50" s="765"/>
      <c r="F50" s="765"/>
      <c r="G50" s="581"/>
      <c r="H50" s="31"/>
      <c r="I50" s="31"/>
      <c r="J50" s="31"/>
      <c r="K50" s="31"/>
      <c r="L50" s="31"/>
      <c r="M50" s="31"/>
      <c r="N50" s="562"/>
    </row>
    <row r="51" spans="1:14" s="381" customFormat="1" ht="15.6">
      <c r="A51" s="738"/>
      <c r="B51" s="739"/>
      <c r="C51" s="739"/>
      <c r="D51" s="739"/>
      <c r="E51" s="739"/>
      <c r="F51" s="739"/>
      <c r="G51" s="582"/>
      <c r="H51" s="31"/>
      <c r="I51" s="31"/>
      <c r="J51" s="31"/>
      <c r="K51" s="31"/>
      <c r="L51" s="31"/>
      <c r="M51" s="31"/>
      <c r="N51" s="562"/>
    </row>
    <row r="52" spans="1:14" s="381" customFormat="1">
      <c r="A52" s="740" t="s">
        <v>331</v>
      </c>
      <c r="B52" s="741"/>
      <c r="C52" s="583"/>
      <c r="D52" s="583"/>
      <c r="E52" s="583"/>
      <c r="F52" s="583"/>
      <c r="G52" s="582"/>
      <c r="H52" s="31"/>
      <c r="I52" s="31"/>
      <c r="J52" s="31"/>
      <c r="K52" s="31"/>
      <c r="L52" s="31"/>
      <c r="M52" s="31"/>
      <c r="N52" s="562"/>
    </row>
    <row r="53" spans="1:14" s="381" customFormat="1">
      <c r="A53" s="584" t="s">
        <v>361</v>
      </c>
      <c r="B53" s="585">
        <f>E41</f>
        <v>541</v>
      </c>
      <c r="C53" s="586"/>
      <c r="D53" s="587"/>
      <c r="E53" s="587"/>
      <c r="F53" s="587"/>
      <c r="G53" s="582"/>
      <c r="H53" s="31"/>
      <c r="I53" s="31"/>
      <c r="J53" s="31"/>
      <c r="K53" s="31"/>
      <c r="L53" s="31"/>
      <c r="M53" s="31"/>
      <c r="N53" s="562"/>
    </row>
    <row r="54" spans="1:14" s="381" customFormat="1">
      <c r="A54" s="588" t="s">
        <v>362</v>
      </c>
      <c r="B54" s="589">
        <f>F41</f>
        <v>634</v>
      </c>
      <c r="C54" s="586"/>
      <c r="D54" s="587"/>
      <c r="E54" s="587"/>
      <c r="F54" s="587"/>
      <c r="G54" s="582"/>
      <c r="H54" s="31"/>
      <c r="I54" s="31"/>
      <c r="J54" s="31"/>
      <c r="K54" s="31"/>
      <c r="L54" s="31"/>
      <c r="M54" s="31"/>
      <c r="N54" s="562"/>
    </row>
    <row r="55" spans="1:14" s="381" customFormat="1">
      <c r="A55" s="590" t="s">
        <v>334</v>
      </c>
      <c r="B55" s="591">
        <f>B54-B53</f>
        <v>93</v>
      </c>
      <c r="C55" s="586"/>
      <c r="D55" s="587"/>
      <c r="E55" s="587"/>
      <c r="F55" s="587"/>
      <c r="G55" s="582"/>
      <c r="H55" s="31"/>
      <c r="I55" s="31"/>
      <c r="J55" s="31"/>
      <c r="K55" s="31"/>
      <c r="L55" s="31"/>
      <c r="M55" s="31"/>
      <c r="N55" s="562"/>
    </row>
    <row r="56" spans="1:14" s="381" customFormat="1">
      <c r="A56" s="590" t="s">
        <v>335</v>
      </c>
      <c r="B56" s="592">
        <f>B55/B53</f>
        <v>0.17190388170055454</v>
      </c>
      <c r="C56" s="586"/>
      <c r="D56" s="587"/>
      <c r="E56" s="587"/>
      <c r="F56" s="587"/>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336</v>
      </c>
      <c r="B58" s="732"/>
      <c r="C58" s="732"/>
      <c r="D58" s="732"/>
      <c r="E58" s="732"/>
      <c r="F58" s="732"/>
      <c r="G58" s="582"/>
      <c r="H58" s="31"/>
      <c r="I58" s="31"/>
      <c r="J58" s="31"/>
      <c r="K58" s="31"/>
      <c r="L58" s="31"/>
      <c r="M58" s="31"/>
      <c r="N58" s="562"/>
    </row>
    <row r="59" spans="1:14" s="381" customFormat="1" ht="32.700000000000003" customHeight="1">
      <c r="A59" s="742" t="s">
        <v>878</v>
      </c>
      <c r="B59" s="743"/>
      <c r="C59" s="743"/>
      <c r="D59" s="743"/>
      <c r="E59" s="743"/>
      <c r="F59" s="744"/>
      <c r="G59" s="582"/>
      <c r="H59" s="31"/>
      <c r="I59" s="31"/>
      <c r="J59" s="31"/>
      <c r="K59" s="31"/>
      <c r="L59" s="31"/>
      <c r="M59" s="31"/>
      <c r="N59" s="562"/>
    </row>
    <row r="60" spans="1:14" s="381" customFormat="1">
      <c r="A60" s="594"/>
      <c r="B60" s="595"/>
      <c r="C60" s="595"/>
      <c r="D60" s="595"/>
      <c r="E60" s="595"/>
      <c r="F60" s="595"/>
      <c r="G60" s="582"/>
      <c r="H60" s="31"/>
      <c r="I60" s="31"/>
      <c r="J60" s="31"/>
      <c r="K60" s="31"/>
      <c r="L60" s="31"/>
      <c r="M60" s="31"/>
      <c r="N60" s="562"/>
    </row>
    <row r="61" spans="1:14" s="381" customFormat="1">
      <c r="A61" s="596" t="s">
        <v>337</v>
      </c>
      <c r="B61" s="587"/>
      <c r="C61" s="686"/>
      <c r="D61" s="587"/>
      <c r="E61" s="587"/>
      <c r="F61" s="587"/>
      <c r="G61" s="582"/>
      <c r="H61" s="31"/>
      <c r="I61" s="31"/>
      <c r="J61" s="31"/>
      <c r="K61" s="31"/>
      <c r="L61" s="31"/>
      <c r="M61" s="31"/>
      <c r="N61" s="562"/>
    </row>
    <row r="62" spans="1:14" s="381" customFormat="1" ht="106.15" customHeight="1">
      <c r="A62" s="742" t="s">
        <v>879</v>
      </c>
      <c r="B62" s="743"/>
      <c r="C62" s="743"/>
      <c r="D62" s="743"/>
      <c r="E62" s="743"/>
      <c r="F62" s="744"/>
      <c r="G62" s="582"/>
      <c r="H62" s="31"/>
      <c r="I62" s="31"/>
      <c r="J62" s="31"/>
      <c r="K62" s="31"/>
      <c r="L62" s="31"/>
      <c r="M62" s="31"/>
      <c r="N62" s="562"/>
    </row>
    <row r="63" spans="1:14" s="381" customFormat="1">
      <c r="A63" s="593"/>
      <c r="B63" s="587"/>
      <c r="C63" s="686"/>
      <c r="D63" s="587"/>
      <c r="E63" s="587"/>
      <c r="F63" s="587"/>
      <c r="G63" s="582"/>
      <c r="H63" s="31"/>
      <c r="I63" s="31"/>
      <c r="J63" s="31"/>
      <c r="K63" s="31"/>
      <c r="L63" s="31"/>
      <c r="M63" s="31"/>
      <c r="N63" s="562"/>
    </row>
    <row r="64" spans="1:14" s="381" customFormat="1">
      <c r="A64" s="731" t="s">
        <v>365</v>
      </c>
      <c r="B64" s="732"/>
      <c r="C64" s="732"/>
      <c r="D64" s="732"/>
      <c r="E64" s="732"/>
      <c r="F64" s="732"/>
      <c r="G64" s="582"/>
      <c r="H64" s="31"/>
      <c r="I64" s="31"/>
      <c r="J64" s="31"/>
      <c r="K64" s="31"/>
      <c r="L64" s="31"/>
      <c r="M64" s="31"/>
      <c r="N64" s="562"/>
    </row>
    <row r="65" spans="1:14" s="381" customFormat="1">
      <c r="A65" s="733" t="s">
        <v>339</v>
      </c>
      <c r="B65" s="734"/>
      <c r="C65" s="734"/>
      <c r="D65" s="734"/>
      <c r="E65" s="734"/>
      <c r="F65" s="734"/>
      <c r="G65" s="582"/>
      <c r="H65" s="31"/>
      <c r="I65" s="31"/>
      <c r="J65" s="31"/>
      <c r="K65" s="31"/>
      <c r="L65" s="31"/>
      <c r="M65" s="31"/>
      <c r="N65" s="562"/>
    </row>
    <row r="66" spans="1:14" s="381" customFormat="1" ht="210.25" customHeight="1">
      <c r="A66" s="827" t="s">
        <v>880</v>
      </c>
      <c r="B66" s="828"/>
      <c r="C66" s="828"/>
      <c r="D66" s="828"/>
      <c r="E66" s="828"/>
      <c r="F66" s="829"/>
      <c r="G66" s="582"/>
      <c r="H66" s="31"/>
      <c r="I66" s="31"/>
      <c r="J66" s="31"/>
      <c r="K66" s="31"/>
      <c r="L66" s="31"/>
      <c r="M66" s="31"/>
      <c r="N66" s="562"/>
    </row>
    <row r="67" spans="1:14" s="381" customFormat="1">
      <c r="A67" s="596"/>
      <c r="B67" s="587"/>
      <c r="C67" s="686"/>
      <c r="D67" s="587"/>
      <c r="E67" s="587"/>
      <c r="F67" s="587"/>
      <c r="G67" s="582"/>
      <c r="H67" s="31"/>
      <c r="I67" s="31"/>
      <c r="J67" s="31"/>
      <c r="K67" s="31"/>
      <c r="L67" s="31"/>
      <c r="M67" s="31"/>
      <c r="N67" s="562"/>
    </row>
    <row r="68" spans="1:14" s="381" customFormat="1">
      <c r="A68" s="731" t="s">
        <v>340</v>
      </c>
      <c r="B68" s="732"/>
      <c r="C68" s="732"/>
      <c r="D68" s="732"/>
      <c r="E68" s="732"/>
      <c r="F68" s="587"/>
      <c r="G68" s="582"/>
      <c r="H68" s="31"/>
      <c r="I68" s="31"/>
      <c r="J68" s="31"/>
      <c r="K68" s="31"/>
      <c r="L68" s="31"/>
      <c r="M68" s="31"/>
      <c r="N68" s="562"/>
    </row>
    <row r="69" spans="1:14" s="381" customFormat="1">
      <c r="A69" s="728"/>
      <c r="B69" s="729"/>
      <c r="C69" s="729"/>
      <c r="D69" s="729"/>
      <c r="E69" s="729"/>
      <c r="F69" s="730"/>
      <c r="G69" s="582"/>
      <c r="H69" s="31"/>
      <c r="I69" s="31"/>
      <c r="J69" s="31"/>
      <c r="K69" s="31"/>
      <c r="L69" s="31"/>
      <c r="M69" s="31"/>
      <c r="N69" s="562"/>
    </row>
    <row r="70" spans="1:14" s="381" customFormat="1">
      <c r="A70" s="593"/>
      <c r="B70" s="587"/>
      <c r="C70" s="686"/>
      <c r="D70" s="587"/>
      <c r="E70" s="587"/>
      <c r="F70" s="587"/>
      <c r="G70" s="582"/>
      <c r="H70" s="31"/>
      <c r="I70" s="31"/>
      <c r="J70" s="31"/>
      <c r="K70" s="31"/>
      <c r="L70" s="31"/>
      <c r="M70" s="31"/>
      <c r="N70" s="562"/>
    </row>
    <row r="71" spans="1:14" s="381" customFormat="1">
      <c r="A71" s="596" t="s">
        <v>341</v>
      </c>
      <c r="B71" s="587"/>
      <c r="C71" s="686"/>
      <c r="D71" s="587"/>
      <c r="E71" s="587"/>
      <c r="F71" s="587"/>
      <c r="G71" s="582"/>
      <c r="H71" s="31"/>
      <c r="I71" s="31"/>
      <c r="J71" s="31"/>
      <c r="K71" s="31"/>
      <c r="L71" s="31"/>
      <c r="M71" s="31"/>
      <c r="N71" s="562"/>
    </row>
    <row r="72" spans="1:14" s="381" customFormat="1">
      <c r="A72" s="597" t="s">
        <v>342</v>
      </c>
      <c r="B72" s="587"/>
      <c r="C72" s="686"/>
      <c r="D72" s="587"/>
      <c r="E72" s="587"/>
      <c r="F72" s="587"/>
      <c r="G72" s="582"/>
      <c r="H72" s="31"/>
      <c r="I72" s="31"/>
      <c r="J72" s="31"/>
      <c r="K72" s="31"/>
      <c r="L72" s="31"/>
      <c r="M72" s="31"/>
      <c r="N72" s="562"/>
    </row>
    <row r="73" spans="1:14" s="381" customFormat="1" ht="26.2" customHeight="1">
      <c r="A73" s="719" t="s">
        <v>368</v>
      </c>
      <c r="B73" s="720"/>
      <c r="C73" s="720"/>
      <c r="D73" s="720"/>
      <c r="E73" s="720"/>
      <c r="F73" s="720"/>
      <c r="G73" s="582"/>
      <c r="H73" s="31"/>
      <c r="I73" s="31"/>
      <c r="J73" s="31"/>
      <c r="K73" s="31"/>
      <c r="L73" s="31"/>
      <c r="M73" s="31"/>
      <c r="N73" s="562"/>
    </row>
    <row r="74" spans="1:14" s="381" customFormat="1">
      <c r="A74" s="721"/>
      <c r="B74" s="722"/>
      <c r="C74" s="722"/>
      <c r="D74" s="722"/>
      <c r="E74" s="722"/>
      <c r="F74" s="723"/>
      <c r="G74" s="582"/>
      <c r="H74" s="31"/>
      <c r="I74" s="31"/>
      <c r="J74" s="31"/>
      <c r="K74" s="31"/>
      <c r="L74" s="31"/>
      <c r="M74" s="31"/>
      <c r="N74" s="562"/>
    </row>
    <row r="75" spans="1:14" s="381" customFormat="1">
      <c r="A75" s="724"/>
      <c r="B75" s="725"/>
      <c r="C75" s="725"/>
      <c r="D75" s="725"/>
      <c r="E75" s="725"/>
      <c r="F75" s="725"/>
      <c r="G75" s="582"/>
      <c r="H75" s="31"/>
      <c r="I75" s="31"/>
      <c r="J75" s="31"/>
      <c r="K75" s="31"/>
      <c r="L75" s="31"/>
      <c r="M75" s="31"/>
      <c r="N75" s="562"/>
    </row>
    <row r="76" spans="1:14" s="381" customFormat="1">
      <c r="A76" s="597" t="s">
        <v>344</v>
      </c>
      <c r="B76" s="587"/>
      <c r="C76" s="686"/>
      <c r="D76" s="587"/>
      <c r="E76" s="587"/>
      <c r="F76" s="587"/>
      <c r="G76" s="582"/>
      <c r="H76" s="31"/>
      <c r="I76" s="31"/>
      <c r="J76" s="31"/>
      <c r="K76" s="31"/>
      <c r="L76" s="31"/>
      <c r="M76" s="31"/>
      <c r="N76" s="562"/>
    </row>
    <row r="77" spans="1:14" s="381" customFormat="1" ht="28.8" customHeight="1">
      <c r="A77" s="726" t="s">
        <v>345</v>
      </c>
      <c r="B77" s="727"/>
      <c r="C77" s="727"/>
      <c r="D77" s="727"/>
      <c r="E77" s="727"/>
      <c r="F77" s="727"/>
      <c r="G77" s="582"/>
      <c r="H77" s="31"/>
      <c r="I77" s="31"/>
      <c r="J77" s="31"/>
      <c r="K77" s="31"/>
      <c r="L77" s="31"/>
      <c r="M77" s="31"/>
      <c r="N77" s="562"/>
    </row>
    <row r="78" spans="1:14" s="381" customFormat="1">
      <c r="A78" s="728"/>
      <c r="B78" s="729"/>
      <c r="C78" s="729"/>
      <c r="D78" s="729"/>
      <c r="E78" s="729"/>
      <c r="F78" s="730"/>
      <c r="G78" s="582"/>
      <c r="H78" s="31"/>
      <c r="I78" s="31"/>
      <c r="J78" s="31"/>
      <c r="K78" s="31"/>
      <c r="L78" s="31"/>
      <c r="M78" s="31"/>
      <c r="N78" s="562"/>
    </row>
    <row r="79" spans="1:14" s="381" customFormat="1" ht="15.6" thickBot="1">
      <c r="A79" s="598"/>
      <c r="B79" s="599"/>
      <c r="C79" s="600"/>
      <c r="D79" s="599"/>
      <c r="E79" s="599"/>
      <c r="F79" s="599"/>
      <c r="G79" s="601"/>
      <c r="H79" s="31"/>
      <c r="I79" s="31"/>
      <c r="J79" s="31"/>
      <c r="K79" s="31"/>
      <c r="L79" s="31"/>
      <c r="M79" s="31"/>
      <c r="N79" s="562"/>
    </row>
    <row r="80" spans="1:14" s="381" customFormat="1">
      <c r="A80" s="31"/>
      <c r="B80" s="31"/>
      <c r="C80" s="32"/>
      <c r="D80" s="31"/>
      <c r="E80" s="31"/>
      <c r="F80" s="31"/>
      <c r="G80" s="31"/>
      <c r="H80" s="31"/>
      <c r="I80" s="31"/>
      <c r="J80" s="31"/>
      <c r="K80" s="31"/>
      <c r="L80" s="31"/>
      <c r="M80" s="31"/>
      <c r="N80" s="562"/>
    </row>
  </sheetData>
  <mergeCells count="17">
    <mergeCell ref="A1:N1"/>
    <mergeCell ref="A50:F50"/>
    <mergeCell ref="A51:F51"/>
    <mergeCell ref="A52:B52"/>
    <mergeCell ref="A58:F58"/>
    <mergeCell ref="A59:F59"/>
    <mergeCell ref="A62:F62"/>
    <mergeCell ref="A64:F64"/>
    <mergeCell ref="A65:F65"/>
    <mergeCell ref="A66:F66"/>
    <mergeCell ref="A77:F77"/>
    <mergeCell ref="A78:F78"/>
    <mergeCell ref="A68:E68"/>
    <mergeCell ref="A69:F69"/>
    <mergeCell ref="A73:F73"/>
    <mergeCell ref="A74:F74"/>
    <mergeCell ref="A75:F75"/>
  </mergeCells>
  <printOptions horizontalCentered="1"/>
  <pageMargins left="0.2" right="0.2" top="0.75" bottom="0.75" header="0.3" footer="0.3"/>
  <pageSetup scale="64" fitToHeight="0" orientation="landscape" r:id="rId1"/>
  <headerFooter>
    <oddHeader xml:space="preserve">&amp;CDRAFT NOT FOR DISTRIBUTION, INTERNAL USE ONLY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R280"/>
  <sheetViews>
    <sheetView tabSelected="1" zoomScaleNormal="100" workbookViewId="0"/>
  </sheetViews>
  <sheetFormatPr defaultRowHeight="14.85"/>
  <cols>
    <col min="1" max="1" width="64" customWidth="1"/>
    <col min="2" max="2" width="12.42578125" customWidth="1"/>
    <col min="3" max="3" width="13.28515625" customWidth="1"/>
    <col min="4" max="4" width="13.5703125" bestFit="1" customWidth="1"/>
    <col min="5" max="5" width="14.5703125" bestFit="1" customWidth="1"/>
    <col min="6" max="6" width="12.7109375" customWidth="1"/>
    <col min="7" max="7" width="12.28515625" customWidth="1"/>
    <col min="8" max="8" width="12.42578125" bestFit="1" customWidth="1"/>
    <col min="9" max="9" width="13.28515625" bestFit="1" customWidth="1"/>
    <col min="10" max="10" width="14.5703125" bestFit="1" customWidth="1"/>
    <col min="11" max="11" width="11.28515625" customWidth="1"/>
    <col min="14" max="14" width="23.42578125" customWidth="1"/>
    <col min="15" max="15" width="13" customWidth="1"/>
  </cols>
  <sheetData>
    <row r="1" spans="1:18" ht="28.95" thickBot="1">
      <c r="A1" s="20" t="s">
        <v>83</v>
      </c>
      <c r="B1" s="21" t="s">
        <v>84</v>
      </c>
      <c r="C1" s="21" t="s">
        <v>85</v>
      </c>
      <c r="D1" s="22"/>
      <c r="E1" s="23"/>
      <c r="F1" s="23"/>
      <c r="G1" s="23"/>
      <c r="H1" s="23"/>
      <c r="I1" s="24"/>
      <c r="J1" s="21" t="s">
        <v>86</v>
      </c>
      <c r="K1" s="53" t="s">
        <v>87</v>
      </c>
      <c r="L1" s="53"/>
      <c r="M1" s="53"/>
      <c r="N1" s="53"/>
      <c r="O1" s="381"/>
      <c r="P1" s="381"/>
      <c r="Q1" s="381"/>
      <c r="R1" s="381"/>
    </row>
    <row r="2" spans="1:18" ht="16.350000000000001" thickTop="1">
      <c r="A2" s="25" t="s">
        <v>88</v>
      </c>
      <c r="B2" s="26"/>
      <c r="C2" s="26"/>
      <c r="D2" s="226" t="s">
        <v>0</v>
      </c>
      <c r="E2" s="226" t="s">
        <v>1</v>
      </c>
      <c r="F2" s="226" t="s">
        <v>2</v>
      </c>
      <c r="G2" s="226" t="s">
        <v>3</v>
      </c>
      <c r="H2" s="226" t="s">
        <v>4</v>
      </c>
      <c r="I2" s="226" t="s">
        <v>34</v>
      </c>
      <c r="J2" s="226" t="s">
        <v>5</v>
      </c>
      <c r="K2" s="381">
        <f>ROUND(64/365,4)</f>
        <v>0.17530000000000001</v>
      </c>
      <c r="L2" s="381"/>
      <c r="M2" s="381"/>
      <c r="N2" s="381"/>
      <c r="O2" s="381"/>
      <c r="P2" s="381"/>
      <c r="Q2" s="381"/>
      <c r="R2" s="381"/>
    </row>
    <row r="3" spans="1:18">
      <c r="A3" s="356" t="s">
        <v>89</v>
      </c>
      <c r="B3" s="357">
        <v>332784</v>
      </c>
      <c r="C3" s="357">
        <v>347105</v>
      </c>
      <c r="D3" s="27"/>
      <c r="E3" s="27"/>
      <c r="F3" s="27"/>
      <c r="G3" s="27"/>
      <c r="H3" s="27"/>
      <c r="I3" s="27"/>
      <c r="J3" s="27"/>
      <c r="K3" s="381"/>
      <c r="L3" s="381"/>
      <c r="M3" s="381"/>
      <c r="N3" s="381"/>
      <c r="O3" s="381"/>
      <c r="P3" s="381"/>
      <c r="Q3" s="381"/>
      <c r="R3" s="381"/>
    </row>
    <row r="4" spans="1:18">
      <c r="A4" s="28" t="s">
        <v>90</v>
      </c>
      <c r="B4" s="357">
        <v>7284</v>
      </c>
      <c r="C4" s="357">
        <v>8438</v>
      </c>
      <c r="D4" s="27"/>
      <c r="E4" s="27"/>
      <c r="F4" s="27"/>
      <c r="G4" s="27"/>
      <c r="H4" s="27"/>
      <c r="I4" s="27"/>
      <c r="J4" s="27"/>
      <c r="K4" s="381"/>
      <c r="L4" s="381"/>
      <c r="M4" s="381"/>
      <c r="N4" s="381"/>
      <c r="O4" s="381"/>
      <c r="P4" s="381"/>
      <c r="Q4" s="381"/>
      <c r="R4" s="381"/>
    </row>
    <row r="5" spans="1:18">
      <c r="A5" s="28" t="s">
        <v>91</v>
      </c>
      <c r="B5" s="357">
        <v>7037</v>
      </c>
      <c r="C5" s="357">
        <v>15000</v>
      </c>
      <c r="D5" s="27"/>
      <c r="E5" s="27"/>
      <c r="F5" s="27"/>
      <c r="G5" s="27"/>
      <c r="H5" s="27"/>
      <c r="I5" s="27"/>
      <c r="J5" s="27"/>
      <c r="K5" s="381"/>
      <c r="L5" s="381"/>
      <c r="M5" s="381"/>
      <c r="N5" s="381"/>
      <c r="O5" s="381"/>
      <c r="P5" s="381"/>
      <c r="Q5" s="381"/>
      <c r="R5" s="381"/>
    </row>
    <row r="6" spans="1:18">
      <c r="A6" s="28" t="s">
        <v>92</v>
      </c>
      <c r="B6" s="357">
        <f>-B3*0</f>
        <v>0</v>
      </c>
      <c r="C6" s="357">
        <f>-C3*0</f>
        <v>0</v>
      </c>
      <c r="D6" s="27"/>
      <c r="E6" s="27"/>
      <c r="F6" s="27"/>
      <c r="G6" s="27"/>
      <c r="H6" s="27"/>
      <c r="I6" s="27"/>
      <c r="J6" s="27"/>
      <c r="K6" s="381"/>
      <c r="L6" s="381"/>
      <c r="M6" s="381"/>
      <c r="N6" s="381"/>
      <c r="O6" s="381"/>
      <c r="P6" s="381"/>
      <c r="Q6" s="381"/>
      <c r="R6" s="381"/>
    </row>
    <row r="7" spans="1:18">
      <c r="A7" s="356" t="s">
        <v>93</v>
      </c>
      <c r="B7" s="357">
        <f>SUM(B3:B6)</f>
        <v>347105</v>
      </c>
      <c r="C7" s="357">
        <f>SUM(C3:C6)</f>
        <v>370543</v>
      </c>
      <c r="D7" s="27"/>
      <c r="E7" s="27"/>
      <c r="F7" s="27"/>
      <c r="G7" s="27"/>
      <c r="H7" s="27"/>
      <c r="I7" s="27"/>
      <c r="J7" s="27"/>
      <c r="K7" s="381"/>
      <c r="L7" s="381"/>
      <c r="M7" s="381"/>
      <c r="N7" s="381"/>
      <c r="O7" s="381"/>
      <c r="P7" s="381"/>
      <c r="Q7" s="381"/>
      <c r="R7" s="381"/>
    </row>
    <row r="8" spans="1:18">
      <c r="A8" s="356" t="s">
        <v>94</v>
      </c>
      <c r="B8" s="357">
        <v>62120</v>
      </c>
      <c r="C8" s="357">
        <f>'DOI Prog&amp;SLA Summary'!K17</f>
        <v>64191.475300000006</v>
      </c>
      <c r="D8" s="360">
        <f>'DOI Prog&amp;SLA Summary'!E17</f>
        <v>18616.439999999999</v>
      </c>
      <c r="E8" s="360">
        <f>'DOI Prog&amp;SLA Summary'!F17</f>
        <v>33896.270649999999</v>
      </c>
      <c r="F8" s="360">
        <f>'DOI Prog&amp;SLA Summary'!G17</f>
        <v>397.84000000000003</v>
      </c>
      <c r="G8" s="360">
        <f>'DOI Prog&amp;SLA Summary'!H17</f>
        <v>4590</v>
      </c>
      <c r="H8" s="360">
        <f>'DOI Prog&amp;SLA Summary'!I17</f>
        <v>5828.7128499999999</v>
      </c>
      <c r="I8" s="360">
        <f>'DOI Prog&amp;SLA Summary'!J17</f>
        <v>862.21179999999993</v>
      </c>
      <c r="J8" s="360">
        <f>SUM(D8:I8)</f>
        <v>64191.475299999984</v>
      </c>
      <c r="K8" s="381"/>
      <c r="L8" s="381"/>
      <c r="M8" s="381"/>
      <c r="N8" s="381"/>
      <c r="O8" s="381"/>
      <c r="P8" s="381"/>
      <c r="Q8" s="381"/>
      <c r="R8" s="381"/>
    </row>
    <row r="9" spans="1:18">
      <c r="A9" s="3" t="s">
        <v>95</v>
      </c>
      <c r="B9" s="16">
        <f>B7-B8</f>
        <v>284985</v>
      </c>
      <c r="C9" s="16">
        <f>C7-C8</f>
        <v>306351.52470000001</v>
      </c>
      <c r="D9" s="292"/>
      <c r="E9" s="292"/>
      <c r="F9" s="292"/>
      <c r="G9" s="292"/>
      <c r="H9" s="292"/>
      <c r="I9" s="292"/>
      <c r="J9" s="292"/>
      <c r="K9" s="381"/>
      <c r="L9" s="381"/>
      <c r="M9" s="381"/>
      <c r="N9" s="381"/>
      <c r="O9" s="381"/>
      <c r="P9" s="381"/>
      <c r="Q9" s="381"/>
      <c r="R9" s="381"/>
    </row>
    <row r="10" spans="1:18" s="7" customFormat="1">
      <c r="A10" s="4" t="s">
        <v>96</v>
      </c>
      <c r="B10" s="5"/>
      <c r="C10" s="5"/>
      <c r="D10" s="361">
        <f>'Prep%Fuelspercentage.direct'!D32</f>
        <v>0.18479999999999999</v>
      </c>
      <c r="E10" s="361">
        <f>'Prep%Fuelspercentage.direct'!E32</f>
        <v>0.57240000000000002</v>
      </c>
      <c r="F10" s="361">
        <f>'Prep%Fuelspercentage.direct'!F32</f>
        <v>0.10780000000000001</v>
      </c>
      <c r="G10" s="361">
        <f>'Prep%Fuelspercentage.direct'!G32</f>
        <v>0.13500000000000001</v>
      </c>
      <c r="H10" s="293"/>
      <c r="I10" s="293"/>
      <c r="J10" s="294"/>
      <c r="K10" s="53" t="s">
        <v>97</v>
      </c>
      <c r="L10" s="367"/>
      <c r="M10" s="367"/>
      <c r="N10" s="367"/>
      <c r="O10" s="367"/>
      <c r="P10" s="368"/>
      <c r="Q10" s="368"/>
      <c r="R10" s="368"/>
    </row>
    <row r="11" spans="1:18" s="348" customFormat="1">
      <c r="A11" s="356" t="s">
        <v>98</v>
      </c>
      <c r="B11" s="357">
        <v>7284</v>
      </c>
      <c r="C11" s="357">
        <f>'Prep%Fuelspercentage.direct'!C4</f>
        <v>8438</v>
      </c>
      <c r="D11" s="357">
        <f>'Prep%Fuelspercentage.direct'!D4</f>
        <v>1229.6790971540727</v>
      </c>
      <c r="E11" s="357">
        <f>'Prep%Fuelspercentage.direct'!E4</f>
        <v>5241.6624141315015</v>
      </c>
      <c r="F11" s="357">
        <f>'Prep%Fuelspercentage.direct'!F4</f>
        <v>604.4887144259078</v>
      </c>
      <c r="G11" s="357">
        <f>'Prep%Fuelspercentage.direct'!G4</f>
        <v>1262.8017664376841</v>
      </c>
      <c r="H11" s="357">
        <f>('Prep%Fuelspercentage.direct'!H4)+0.4</f>
        <v>99.768007850834152</v>
      </c>
      <c r="I11" s="357">
        <v>0</v>
      </c>
      <c r="J11" s="357">
        <f t="shared" ref="J11:J16" si="0">SUM(D11:I11)</f>
        <v>8438.4000000000015</v>
      </c>
      <c r="K11" s="29"/>
      <c r="L11" s="29"/>
      <c r="M11" s="368"/>
      <c r="N11" s="29"/>
      <c r="O11" s="29"/>
      <c r="P11" s="29"/>
      <c r="Q11" s="29"/>
      <c r="R11" s="29"/>
    </row>
    <row r="12" spans="1:18" s="381" customFormat="1">
      <c r="A12" s="356" t="s">
        <v>1364</v>
      </c>
      <c r="B12" s="357">
        <v>7000</v>
      </c>
      <c r="C12" s="357">
        <v>7000</v>
      </c>
      <c r="D12" s="357">
        <v>472</v>
      </c>
      <c r="E12" s="357">
        <v>4750</v>
      </c>
      <c r="F12" s="357">
        <v>875</v>
      </c>
      <c r="G12" s="357">
        <v>903</v>
      </c>
      <c r="H12" s="357"/>
      <c r="I12" s="357"/>
      <c r="J12" s="357">
        <f t="shared" si="0"/>
        <v>7000</v>
      </c>
      <c r="K12" s="29"/>
      <c r="L12" s="29"/>
      <c r="M12" s="368"/>
      <c r="N12" s="29"/>
      <c r="O12" s="29"/>
      <c r="P12" s="29"/>
      <c r="Q12" s="29"/>
      <c r="R12" s="29"/>
    </row>
    <row r="13" spans="1:18" s="381" customFormat="1">
      <c r="A13" s="356" t="s">
        <v>1349</v>
      </c>
      <c r="B13" s="357"/>
      <c r="C13" s="357">
        <v>15000</v>
      </c>
      <c r="D13" s="357">
        <f>+'Prep%Fuelspercentage.direct'!D8</f>
        <v>3822</v>
      </c>
      <c r="E13" s="357">
        <f>(+'Prep%Fuelspercentage.direct'!E8)-0.4</f>
        <v>8240.6</v>
      </c>
      <c r="F13" s="357">
        <f>+'Prep%Fuelspercentage.direct'!F8</f>
        <v>951</v>
      </c>
      <c r="G13" s="357">
        <f>+'Prep%Fuelspercentage.direct'!G8</f>
        <v>1986</v>
      </c>
      <c r="H13" s="357">
        <f>+'Prep%Fuelspercentage.direct'!H8</f>
        <v>0</v>
      </c>
      <c r="I13" s="357">
        <v>0</v>
      </c>
      <c r="J13" s="357">
        <f t="shared" si="0"/>
        <v>14999.6</v>
      </c>
      <c r="K13" s="29"/>
      <c r="L13" s="29"/>
      <c r="M13" s="368"/>
      <c r="N13" s="29"/>
      <c r="O13" s="29"/>
      <c r="P13" s="29"/>
      <c r="Q13" s="29"/>
      <c r="R13" s="29"/>
    </row>
    <row r="14" spans="1:18">
      <c r="A14" s="356" t="s">
        <v>100</v>
      </c>
      <c r="B14" s="357">
        <f>+B9-B11-B12</f>
        <v>270701</v>
      </c>
      <c r="C14" s="357">
        <f>C9-C11-C12-C13</f>
        <v>275913.52470000001</v>
      </c>
      <c r="D14" s="357">
        <f>($C$14-$H14)*D10</f>
        <v>50019.912964559997</v>
      </c>
      <c r="E14" s="357">
        <f>(($C$14-$H14)*E10)</f>
        <v>154931.80833828001</v>
      </c>
      <c r="F14" s="357">
        <f>($C$14-$H14)*F10</f>
        <v>29178.282562660002</v>
      </c>
      <c r="G14" s="357">
        <f>($C$14-$H14)*G10</f>
        <v>36540.520834500006</v>
      </c>
      <c r="H14" s="357">
        <f>5285-99+57</f>
        <v>5243</v>
      </c>
      <c r="I14" s="357">
        <v>0</v>
      </c>
      <c r="J14" s="357">
        <f t="shared" si="0"/>
        <v>275913.52470000001</v>
      </c>
      <c r="K14" s="29"/>
      <c r="L14" s="29"/>
      <c r="M14" s="368"/>
      <c r="N14" s="29"/>
      <c r="O14" s="29"/>
      <c r="P14" s="29"/>
      <c r="Q14" s="29"/>
      <c r="R14" s="29"/>
    </row>
    <row r="15" spans="1:18" s="381" customFormat="1" hidden="1">
      <c r="A15" s="356" t="s">
        <v>101</v>
      </c>
      <c r="B15" s="357">
        <v>0</v>
      </c>
      <c r="C15" s="357"/>
      <c r="D15" s="357">
        <v>0</v>
      </c>
      <c r="E15" s="357">
        <v>0</v>
      </c>
      <c r="F15" s="357">
        <v>0</v>
      </c>
      <c r="G15" s="357">
        <v>0</v>
      </c>
      <c r="H15" s="357">
        <v>0</v>
      </c>
      <c r="I15" s="357">
        <v>0</v>
      </c>
      <c r="J15" s="357">
        <f t="shared" si="0"/>
        <v>0</v>
      </c>
      <c r="K15" s="29"/>
      <c r="L15" s="29"/>
      <c r="M15" s="29"/>
      <c r="N15" s="29"/>
      <c r="O15" s="29"/>
      <c r="P15" s="29"/>
      <c r="Q15" s="29"/>
      <c r="R15" s="29"/>
    </row>
    <row r="16" spans="1:18">
      <c r="A16" s="356" t="s">
        <v>102</v>
      </c>
      <c r="B16" s="357">
        <v>8055</v>
      </c>
      <c r="C16" s="357">
        <f>'DOI Prog&amp;SLA Summary'!D56</f>
        <v>7106.8004999999994</v>
      </c>
      <c r="D16" s="357">
        <f>'DOI Prog&amp;SLA Summary'!E56</f>
        <v>-1314.7440000000001</v>
      </c>
      <c r="E16" s="357">
        <f>'DOI Prog&amp;SLA Summary'!F56</f>
        <v>2602.6724100000001</v>
      </c>
      <c r="F16" s="357">
        <f>'DOI Prog&amp;SLA Summary'!G56</f>
        <v>-933.45655999999997</v>
      </c>
      <c r="G16" s="357">
        <f>'DOI Prog&amp;SLA Summary'!H56</f>
        <v>-893.52284999999995</v>
      </c>
      <c r="H16" s="357">
        <f>('DOI Prog&amp;SLA Summary'!I56)+0.4</f>
        <v>425.4</v>
      </c>
      <c r="I16" s="357">
        <f>'DOI Prog&amp;SLA Summary'!J56</f>
        <v>114</v>
      </c>
      <c r="J16" s="357">
        <f t="shared" si="0"/>
        <v>0.34900000000004638</v>
      </c>
      <c r="K16" s="29"/>
      <c r="L16" s="29"/>
      <c r="M16" s="368"/>
      <c r="N16" s="29"/>
      <c r="O16" s="29"/>
      <c r="P16" s="29"/>
      <c r="Q16" s="29"/>
      <c r="R16" s="29"/>
    </row>
    <row r="17" spans="1:18" s="354" customFormat="1">
      <c r="A17" s="275" t="s">
        <v>103</v>
      </c>
      <c r="B17" s="357">
        <v>0</v>
      </c>
      <c r="C17" s="357">
        <v>0</v>
      </c>
      <c r="D17" s="357">
        <v>0</v>
      </c>
      <c r="E17" s="357">
        <v>0</v>
      </c>
      <c r="F17" s="357">
        <v>0</v>
      </c>
      <c r="G17" s="357">
        <v>0</v>
      </c>
      <c r="H17" s="357">
        <v>0</v>
      </c>
      <c r="I17" s="357">
        <v>0</v>
      </c>
      <c r="J17" s="357">
        <v>0</v>
      </c>
      <c r="K17" s="29"/>
      <c r="L17" s="29"/>
      <c r="M17" s="29"/>
      <c r="N17" s="29"/>
      <c r="O17" s="29"/>
      <c r="P17" s="29"/>
      <c r="Q17" s="29"/>
      <c r="R17" s="29"/>
    </row>
    <row r="18" spans="1:18">
      <c r="A18" s="356" t="s">
        <v>104</v>
      </c>
      <c r="B18" s="357"/>
      <c r="C18" s="357"/>
      <c r="D18" s="357">
        <f>+D8+D11+D12+D13+D14+D15+D16+D17</f>
        <v>72845.288061714062</v>
      </c>
      <c r="E18" s="357">
        <f t="shared" ref="E18:I18" si="1">+E8+E11+E12+E13+E14+E15+E16+E17</f>
        <v>209663.01381241152</v>
      </c>
      <c r="F18" s="357">
        <f t="shared" si="1"/>
        <v>31073.154717085912</v>
      </c>
      <c r="G18" s="357">
        <f t="shared" si="1"/>
        <v>44388.799750937687</v>
      </c>
      <c r="H18" s="357">
        <f t="shared" si="1"/>
        <v>11596.880857850834</v>
      </c>
      <c r="I18" s="357">
        <f t="shared" si="1"/>
        <v>976.21179999999993</v>
      </c>
      <c r="J18" s="357">
        <f t="shared" ref="J18:J26" si="2">SUM(D18:I18)</f>
        <v>370543.34899999999</v>
      </c>
      <c r="K18" s="227"/>
      <c r="L18" s="29"/>
      <c r="M18" s="29"/>
      <c r="N18" s="29"/>
      <c r="O18" s="29"/>
      <c r="P18" s="29"/>
      <c r="Q18" s="29"/>
      <c r="R18" s="29"/>
    </row>
    <row r="19" spans="1:18">
      <c r="A19" s="144" t="s">
        <v>105</v>
      </c>
      <c r="B19" s="143"/>
      <c r="C19" s="143"/>
      <c r="D19" s="351">
        <f t="shared" ref="D19:I19" si="3">D18/$J$18</f>
        <v>0.19659046170523509</v>
      </c>
      <c r="E19" s="351">
        <f t="shared" si="3"/>
        <v>0.56582587267653672</v>
      </c>
      <c r="F19" s="351">
        <f t="shared" si="3"/>
        <v>8.3858352338381639E-2</v>
      </c>
      <c r="G19" s="351">
        <f t="shared" si="3"/>
        <v>0.11979381055072638</v>
      </c>
      <c r="H19" s="351">
        <f t="shared" si="3"/>
        <v>3.1296961311403367E-2</v>
      </c>
      <c r="I19" s="351">
        <f t="shared" si="3"/>
        <v>2.634541417716824E-3</v>
      </c>
      <c r="J19" s="279">
        <f t="shared" si="2"/>
        <v>1</v>
      </c>
      <c r="K19" s="29"/>
      <c r="L19" s="29"/>
      <c r="M19" s="29"/>
      <c r="N19" s="29"/>
      <c r="O19" s="29"/>
      <c r="P19" s="29"/>
      <c r="Q19" s="29"/>
      <c r="R19" s="29"/>
    </row>
    <row r="20" spans="1:18" s="29" customFormat="1">
      <c r="A20" s="156" t="s">
        <v>1344</v>
      </c>
      <c r="B20" s="154"/>
      <c r="C20" s="349">
        <v>28532</v>
      </c>
      <c r="D20" s="360">
        <v>5550</v>
      </c>
      <c r="E20" s="360">
        <v>16165</v>
      </c>
      <c r="F20" s="360">
        <v>2404</v>
      </c>
      <c r="G20" s="360">
        <v>3392</v>
      </c>
      <c r="H20" s="360">
        <v>945</v>
      </c>
      <c r="I20" s="360">
        <v>76</v>
      </c>
      <c r="J20" s="360">
        <f t="shared" si="2"/>
        <v>28532</v>
      </c>
    </row>
    <row r="21" spans="1:18" s="29" customFormat="1">
      <c r="A21" s="156" t="s">
        <v>1337</v>
      </c>
      <c r="B21" s="154"/>
      <c r="C21" s="349">
        <f>3818+28532</f>
        <v>32350</v>
      </c>
      <c r="D21" s="360">
        <v>6293</v>
      </c>
      <c r="E21" s="360">
        <v>18328</v>
      </c>
      <c r="F21" s="360">
        <v>2726</v>
      </c>
      <c r="G21" s="360">
        <v>3846</v>
      </c>
      <c r="H21" s="360">
        <v>1071</v>
      </c>
      <c r="I21" s="360">
        <v>86</v>
      </c>
      <c r="J21" s="360">
        <f t="shared" si="2"/>
        <v>32350</v>
      </c>
    </row>
    <row r="22" spans="1:18" s="29" customFormat="1">
      <c r="A22" s="156" t="s">
        <v>106</v>
      </c>
      <c r="B22" s="154"/>
      <c r="C22" s="349">
        <v>19958</v>
      </c>
      <c r="D22" s="360">
        <v>3882</v>
      </c>
      <c r="E22" s="360">
        <v>11307</v>
      </c>
      <c r="F22" s="360">
        <v>1682</v>
      </c>
      <c r="G22" s="360">
        <v>2373</v>
      </c>
      <c r="H22" s="360">
        <v>661</v>
      </c>
      <c r="I22" s="360">
        <v>53</v>
      </c>
      <c r="J22" s="360">
        <f t="shared" si="2"/>
        <v>19958</v>
      </c>
    </row>
    <row r="23" spans="1:18" s="29" customFormat="1">
      <c r="A23" s="156" t="s">
        <v>107</v>
      </c>
      <c r="B23" s="154"/>
      <c r="C23" s="349">
        <f>134087-60848</f>
        <v>73239</v>
      </c>
      <c r="D23" s="360">
        <v>13754</v>
      </c>
      <c r="E23" s="360">
        <v>40494</v>
      </c>
      <c r="F23" s="360">
        <v>5922</v>
      </c>
      <c r="G23" s="360">
        <v>8447</v>
      </c>
      <c r="H23" s="360">
        <v>4426</v>
      </c>
      <c r="I23" s="360">
        <v>196</v>
      </c>
      <c r="J23" s="360">
        <f t="shared" si="2"/>
        <v>73239</v>
      </c>
    </row>
    <row r="24" spans="1:18" s="29" customFormat="1">
      <c r="A24" s="156" t="s">
        <v>108</v>
      </c>
      <c r="B24" s="154"/>
      <c r="C24" s="349"/>
      <c r="D24" s="360">
        <v>6000</v>
      </c>
      <c r="E24" s="360"/>
      <c r="F24" s="360"/>
      <c r="G24" s="360"/>
      <c r="H24" s="360"/>
      <c r="I24" s="360"/>
      <c r="J24" s="360">
        <f t="shared" si="2"/>
        <v>6000</v>
      </c>
    </row>
    <row r="25" spans="1:18" s="29" customFormat="1">
      <c r="A25" s="156" t="s">
        <v>109</v>
      </c>
      <c r="B25" s="154"/>
      <c r="C25" s="349"/>
      <c r="D25" s="360">
        <v>-6000</v>
      </c>
      <c r="E25" s="360"/>
      <c r="F25" s="360"/>
      <c r="G25" s="360"/>
      <c r="H25" s="360"/>
      <c r="I25" s="360"/>
      <c r="J25" s="360">
        <f t="shared" si="2"/>
        <v>-6000</v>
      </c>
    </row>
    <row r="26" spans="1:18" s="29" customFormat="1">
      <c r="A26" s="156" t="s">
        <v>110</v>
      </c>
      <c r="B26" s="154"/>
      <c r="C26" s="349">
        <v>60848</v>
      </c>
      <c r="D26" s="360">
        <v>11793</v>
      </c>
      <c r="E26" s="360">
        <f>34493+132</f>
        <v>34625</v>
      </c>
      <c r="F26" s="360">
        <v>5100</v>
      </c>
      <c r="G26" s="360">
        <v>7183</v>
      </c>
      <c r="H26" s="360">
        <v>2073</v>
      </c>
      <c r="I26" s="360">
        <f>206-132</f>
        <v>74</v>
      </c>
      <c r="J26" s="360">
        <f t="shared" si="2"/>
        <v>60848</v>
      </c>
    </row>
    <row r="27" spans="1:18" s="151" customFormat="1">
      <c r="A27" s="145" t="s">
        <v>111</v>
      </c>
      <c r="B27" s="146"/>
      <c r="C27" s="147">
        <f>(C7)-C25-C26+C17-C23-C22-C21-C20</f>
        <v>155616</v>
      </c>
      <c r="D27" s="270">
        <f t="shared" ref="D27:J27" si="4">D18-D25-D26-D21-D20+D17-D22-D23-D24</f>
        <v>31573.288061714062</v>
      </c>
      <c r="E27" s="270">
        <f t="shared" si="4"/>
        <v>88744.013812411518</v>
      </c>
      <c r="F27" s="270">
        <f t="shared" si="4"/>
        <v>13239.154717085912</v>
      </c>
      <c r="G27" s="270">
        <f t="shared" si="4"/>
        <v>19147.799750937687</v>
      </c>
      <c r="H27" s="270">
        <f t="shared" si="4"/>
        <v>2420.8808578508342</v>
      </c>
      <c r="I27" s="270">
        <f t="shared" si="4"/>
        <v>491.21179999999993</v>
      </c>
      <c r="J27" s="270">
        <f t="shared" si="4"/>
        <v>155616.34899999999</v>
      </c>
      <c r="K27" s="381"/>
      <c r="L27" s="381"/>
      <c r="M27" s="381"/>
      <c r="N27" s="381"/>
      <c r="O27" s="381"/>
      <c r="P27" s="381"/>
      <c r="Q27" s="381"/>
      <c r="R27" s="381"/>
    </row>
    <row r="28" spans="1:18" s="29" customFormat="1" ht="15.6" thickBot="1">
      <c r="A28" s="153" t="s">
        <v>112</v>
      </c>
      <c r="B28" s="154"/>
      <c r="C28" s="79">
        <f t="shared" ref="C28:I28" si="5">SUM(C20:C27)</f>
        <v>370543</v>
      </c>
      <c r="D28" s="155">
        <f t="shared" si="5"/>
        <v>72845.288061714062</v>
      </c>
      <c r="E28" s="155">
        <f t="shared" si="5"/>
        <v>209663.01381241152</v>
      </c>
      <c r="F28" s="155">
        <f t="shared" si="5"/>
        <v>31073.154717085912</v>
      </c>
      <c r="G28" s="155">
        <f t="shared" si="5"/>
        <v>44388.799750937687</v>
      </c>
      <c r="H28" s="155">
        <f t="shared" si="5"/>
        <v>11596.880857850834</v>
      </c>
      <c r="I28" s="155">
        <f t="shared" si="5"/>
        <v>976.21179999999993</v>
      </c>
      <c r="J28" s="155">
        <f>SUM(D28:I28)</f>
        <v>370543.34899999999</v>
      </c>
      <c r="K28" s="381"/>
    </row>
    <row r="29" spans="1:18" ht="16.350000000000001" thickTop="1">
      <c r="A29" s="25" t="s">
        <v>113</v>
      </c>
      <c r="B29" s="26"/>
      <c r="C29" s="26"/>
      <c r="D29" s="226" t="s">
        <v>0</v>
      </c>
      <c r="E29" s="226" t="s">
        <v>1</v>
      </c>
      <c r="F29" s="226" t="s">
        <v>2</v>
      </c>
      <c r="G29" s="226" t="s">
        <v>3</v>
      </c>
      <c r="H29" s="226" t="s">
        <v>4</v>
      </c>
      <c r="I29" s="226" t="s">
        <v>34</v>
      </c>
      <c r="J29" s="226" t="s">
        <v>5</v>
      </c>
      <c r="K29" s="381"/>
      <c r="L29" s="381"/>
      <c r="M29" s="381"/>
      <c r="N29" s="381"/>
      <c r="O29" s="381"/>
      <c r="P29" s="381"/>
      <c r="Q29" s="381"/>
      <c r="R29" s="381"/>
    </row>
    <row r="30" spans="1:18">
      <c r="A30" s="356" t="s">
        <v>89</v>
      </c>
      <c r="B30" s="357">
        <v>383657</v>
      </c>
      <c r="C30" s="357">
        <v>383657</v>
      </c>
      <c r="D30" s="27"/>
      <c r="E30" s="27"/>
      <c r="F30" s="27"/>
      <c r="G30" s="27"/>
      <c r="H30" s="27"/>
      <c r="I30" s="27"/>
      <c r="J30" s="27"/>
      <c r="K30" s="381"/>
      <c r="L30" s="381"/>
      <c r="M30" s="381"/>
      <c r="N30" s="381"/>
      <c r="O30" s="381"/>
      <c r="P30" s="381"/>
      <c r="Q30" s="381"/>
      <c r="R30" s="381"/>
    </row>
    <row r="31" spans="1:18" s="151" customFormat="1">
      <c r="A31" s="28" t="s">
        <v>90</v>
      </c>
      <c r="B31" s="16">
        <v>0</v>
      </c>
      <c r="C31" s="357"/>
      <c r="D31" s="27"/>
      <c r="E31" s="27"/>
      <c r="F31" s="27"/>
      <c r="G31" s="27"/>
      <c r="H31" s="27"/>
      <c r="I31" s="27"/>
      <c r="J31" s="27"/>
      <c r="K31" s="381"/>
      <c r="L31" s="381"/>
      <c r="M31" s="381"/>
      <c r="N31" s="381"/>
      <c r="O31" s="381"/>
      <c r="P31" s="381"/>
      <c r="Q31" s="381"/>
      <c r="R31" s="381"/>
    </row>
    <row r="32" spans="1:18">
      <c r="A32" s="28" t="s">
        <v>114</v>
      </c>
      <c r="B32" s="357">
        <v>0</v>
      </c>
      <c r="C32" s="357">
        <v>0</v>
      </c>
      <c r="D32" s="27"/>
      <c r="E32" s="27"/>
      <c r="F32" s="27"/>
      <c r="G32" s="27"/>
      <c r="H32" s="27"/>
      <c r="I32" s="27"/>
      <c r="J32" s="27"/>
      <c r="K32" s="381"/>
      <c r="L32" s="381"/>
      <c r="M32" s="381"/>
      <c r="N32" s="381"/>
      <c r="O32" s="381"/>
      <c r="P32" s="381"/>
      <c r="Q32" s="381"/>
      <c r="R32" s="381"/>
    </row>
    <row r="33" spans="1:18">
      <c r="A33" s="28" t="s">
        <v>92</v>
      </c>
      <c r="B33" s="357">
        <v>0</v>
      </c>
      <c r="C33" s="357">
        <f>-C30*0</f>
        <v>0</v>
      </c>
      <c r="D33" s="27"/>
      <c r="E33" s="27"/>
      <c r="F33" s="27"/>
      <c r="G33" s="27"/>
      <c r="H33" s="27"/>
      <c r="I33" s="27"/>
      <c r="J33" s="27"/>
      <c r="K33" s="381"/>
      <c r="L33" s="381"/>
      <c r="M33" s="381"/>
      <c r="N33" s="381"/>
      <c r="O33" s="381"/>
      <c r="P33" s="381"/>
      <c r="Q33" s="381"/>
      <c r="R33" s="381"/>
    </row>
    <row r="34" spans="1:18">
      <c r="A34" s="356" t="s">
        <v>93</v>
      </c>
      <c r="B34" s="357">
        <f>SUM(B30:B33)</f>
        <v>383657</v>
      </c>
      <c r="C34" s="357">
        <f>SUM(C30:C33)</f>
        <v>383657</v>
      </c>
      <c r="D34" s="27"/>
      <c r="E34" s="27"/>
      <c r="F34" s="27"/>
      <c r="G34" s="27"/>
      <c r="H34" s="27"/>
      <c r="I34" s="27"/>
      <c r="J34" s="27"/>
      <c r="K34" s="381"/>
      <c r="L34" s="381"/>
      <c r="M34" s="381"/>
      <c r="N34" s="381"/>
      <c r="O34" s="381"/>
      <c r="P34" s="381"/>
      <c r="Q34" s="381"/>
      <c r="R34" s="381"/>
    </row>
    <row r="35" spans="1:18">
      <c r="A35" s="356" t="s">
        <v>94</v>
      </c>
      <c r="B35" s="357">
        <v>0</v>
      </c>
      <c r="C35" s="357">
        <v>0</v>
      </c>
      <c r="D35" s="357">
        <v>0</v>
      </c>
      <c r="E35" s="357">
        <v>0</v>
      </c>
      <c r="F35" s="357">
        <v>0</v>
      </c>
      <c r="G35" s="357">
        <v>0</v>
      </c>
      <c r="H35" s="357">
        <v>0</v>
      </c>
      <c r="I35" s="357">
        <v>0</v>
      </c>
      <c r="J35" s="357">
        <f>SUM(D35:I35)</f>
        <v>0</v>
      </c>
      <c r="K35" s="381"/>
      <c r="L35" s="381"/>
      <c r="M35" s="381"/>
      <c r="N35" s="381"/>
    </row>
    <row r="36" spans="1:18">
      <c r="A36" s="3" t="s">
        <v>95</v>
      </c>
      <c r="B36" s="357">
        <f>B34-B35</f>
        <v>383657</v>
      </c>
      <c r="C36" s="357">
        <f>C34-C35</f>
        <v>383657</v>
      </c>
      <c r="D36" s="27"/>
      <c r="E36" s="27"/>
      <c r="F36" s="27"/>
      <c r="G36" s="27"/>
      <c r="H36" s="27"/>
      <c r="I36" s="27"/>
      <c r="J36" s="27"/>
      <c r="K36" s="381"/>
      <c r="L36" s="381"/>
      <c r="M36" s="381"/>
      <c r="N36" s="381"/>
    </row>
    <row r="37" spans="1:18" s="7" customFormat="1" ht="29.7">
      <c r="A37" s="660" t="s">
        <v>115</v>
      </c>
      <c r="B37" s="5"/>
      <c r="C37" s="276"/>
      <c r="D37" s="361">
        <v>0.1638</v>
      </c>
      <c r="E37" s="361">
        <v>0.66139999999999999</v>
      </c>
      <c r="F37" s="361">
        <v>4.7199999999999999E-2</v>
      </c>
      <c r="G37" s="361">
        <v>0.12759999999999999</v>
      </c>
      <c r="H37" s="361">
        <v>0</v>
      </c>
      <c r="I37" s="282"/>
      <c r="J37" s="361">
        <f>SUM(D37:I37)</f>
        <v>1</v>
      </c>
      <c r="K37" s="29" t="s">
        <v>116</v>
      </c>
      <c r="L37" s="368"/>
      <c r="M37" s="368"/>
      <c r="N37" s="368"/>
    </row>
    <row r="38" spans="1:18">
      <c r="A38" s="356" t="s">
        <v>117</v>
      </c>
      <c r="B38" s="357">
        <f>B36</f>
        <v>383657</v>
      </c>
      <c r="C38" s="357">
        <f>SUM(D38:I38)</f>
        <v>383657</v>
      </c>
      <c r="D38" s="357">
        <f>(($C$36)*D37)*0.4</f>
        <v>25137.206640000004</v>
      </c>
      <c r="E38" s="357">
        <f>((($C$36)*E37)*0.4)</f>
        <v>101500.29592</v>
      </c>
      <c r="F38" s="357">
        <f>(($C$36)*F37)*0.4</f>
        <v>7243.4441600000009</v>
      </c>
      <c r="G38" s="357">
        <f>(($C$36)*G37)*0.4</f>
        <v>19581.853279999999</v>
      </c>
      <c r="H38" s="357">
        <v>0</v>
      </c>
      <c r="I38" s="357">
        <f>C36-D38-E38-F38-G38-H38</f>
        <v>230194.19999999998</v>
      </c>
      <c r="J38" s="357">
        <f>SUM(D38:I38)</f>
        <v>383657</v>
      </c>
      <c r="K38" s="381" t="s">
        <v>118</v>
      </c>
      <c r="L38" s="381"/>
      <c r="M38" s="381"/>
      <c r="N38" s="381"/>
    </row>
    <row r="39" spans="1:18" s="354" customFormat="1">
      <c r="A39" s="275" t="s">
        <v>103</v>
      </c>
      <c r="B39" s="357">
        <v>0</v>
      </c>
      <c r="C39" s="357"/>
      <c r="D39" s="357">
        <v>0</v>
      </c>
      <c r="E39" s="357"/>
      <c r="F39" s="357">
        <v>0</v>
      </c>
      <c r="G39" s="357">
        <v>0</v>
      </c>
      <c r="H39" s="357">
        <v>0</v>
      </c>
      <c r="I39" s="357">
        <v>0</v>
      </c>
      <c r="J39" s="357">
        <f>SUM(D39:I39)</f>
        <v>0</v>
      </c>
      <c r="K39" s="287">
        <f>+J38*0.4</f>
        <v>153462.80000000002</v>
      </c>
      <c r="L39" s="381"/>
      <c r="M39" s="381"/>
      <c r="N39" s="381"/>
    </row>
    <row r="40" spans="1:18">
      <c r="A40" s="356" t="s">
        <v>104</v>
      </c>
      <c r="B40" s="357"/>
      <c r="C40" s="357"/>
      <c r="D40" s="158">
        <f t="shared" ref="D40:I40" si="6">D38+D35+D39</f>
        <v>25137.206640000004</v>
      </c>
      <c r="E40" s="158">
        <f t="shared" si="6"/>
        <v>101500.29592</v>
      </c>
      <c r="F40" s="158">
        <f t="shared" si="6"/>
        <v>7243.4441600000009</v>
      </c>
      <c r="G40" s="158">
        <f t="shared" si="6"/>
        <v>19581.853279999999</v>
      </c>
      <c r="H40" s="158">
        <f t="shared" si="6"/>
        <v>0</v>
      </c>
      <c r="I40" s="158">
        <f t="shared" si="6"/>
        <v>230194.19999999998</v>
      </c>
      <c r="J40" s="357">
        <f>SUM(D40:I40)</f>
        <v>383657</v>
      </c>
      <c r="K40" s="381"/>
      <c r="L40" s="381"/>
      <c r="M40" s="381"/>
      <c r="N40" s="381"/>
    </row>
    <row r="41" spans="1:18">
      <c r="A41" s="144" t="s">
        <v>105</v>
      </c>
      <c r="B41" s="143"/>
      <c r="C41" s="143"/>
      <c r="D41" s="351">
        <f t="shared" ref="D41:I41" si="7">D40/$J$40</f>
        <v>6.5520000000000009E-2</v>
      </c>
      <c r="E41" s="351">
        <f t="shared" si="7"/>
        <v>0.26456000000000002</v>
      </c>
      <c r="F41" s="351">
        <f t="shared" si="7"/>
        <v>1.8880000000000001E-2</v>
      </c>
      <c r="G41" s="351">
        <f t="shared" si="7"/>
        <v>5.1039999999999995E-2</v>
      </c>
      <c r="H41" s="351">
        <f t="shared" si="7"/>
        <v>0</v>
      </c>
      <c r="I41" s="351">
        <f t="shared" si="7"/>
        <v>0.6</v>
      </c>
      <c r="J41" s="351">
        <f t="shared" ref="J41:J55" si="8">SUM(D41:I41)</f>
        <v>1</v>
      </c>
      <c r="K41" s="381"/>
      <c r="L41" s="381"/>
      <c r="M41" s="381"/>
      <c r="N41" s="381"/>
    </row>
    <row r="42" spans="1:18" s="381" customFormat="1">
      <c r="A42" s="156" t="s">
        <v>119</v>
      </c>
      <c r="B42" s="143"/>
      <c r="C42" s="349"/>
      <c r="D42" s="360">
        <v>7000</v>
      </c>
      <c r="E42" s="360"/>
      <c r="F42" s="360"/>
      <c r="G42" s="360">
        <v>5000</v>
      </c>
      <c r="H42" s="360"/>
      <c r="I42" s="360">
        <f>-7000-5000</f>
        <v>-12000</v>
      </c>
      <c r="J42" s="360">
        <f t="shared" si="8"/>
        <v>0</v>
      </c>
    </row>
    <row r="43" spans="1:18" s="381" customFormat="1">
      <c r="A43" s="156" t="s">
        <v>1344</v>
      </c>
      <c r="B43" s="143"/>
      <c r="C43" s="349">
        <v>31536</v>
      </c>
      <c r="D43" s="360">
        <v>2066</v>
      </c>
      <c r="E43" s="360">
        <v>8343</v>
      </c>
      <c r="F43" s="360">
        <v>595</v>
      </c>
      <c r="G43" s="360">
        <v>1610</v>
      </c>
      <c r="H43" s="360">
        <v>0</v>
      </c>
      <c r="I43" s="360">
        <v>18922</v>
      </c>
      <c r="J43" s="360">
        <f t="shared" si="8"/>
        <v>31536</v>
      </c>
    </row>
    <row r="44" spans="1:18" s="29" customFormat="1">
      <c r="A44" s="156" t="s">
        <v>1337</v>
      </c>
      <c r="B44" s="154"/>
      <c r="C44" s="239">
        <f>4220+31536</f>
        <v>35756</v>
      </c>
      <c r="D44" s="360">
        <v>2343</v>
      </c>
      <c r="E44" s="360">
        <v>9460</v>
      </c>
      <c r="F44" s="360">
        <v>675</v>
      </c>
      <c r="G44" s="360">
        <v>1825</v>
      </c>
      <c r="H44" s="360">
        <v>0</v>
      </c>
      <c r="I44" s="360">
        <v>21453</v>
      </c>
      <c r="J44" s="360">
        <f t="shared" si="8"/>
        <v>35756</v>
      </c>
      <c r="L44" s="227"/>
    </row>
    <row r="45" spans="1:18" s="29" customFormat="1">
      <c r="A45" s="156" t="s">
        <v>1336</v>
      </c>
      <c r="B45" s="154"/>
      <c r="C45" s="349">
        <v>0</v>
      </c>
      <c r="D45" s="360">
        <f>7000+7000</f>
        <v>14000</v>
      </c>
      <c r="E45" s="360"/>
      <c r="F45" s="360"/>
      <c r="G45" s="360"/>
      <c r="H45" s="360"/>
      <c r="I45" s="360">
        <f>-7000-7000</f>
        <v>-14000</v>
      </c>
      <c r="J45" s="360">
        <f t="shared" si="8"/>
        <v>0</v>
      </c>
      <c r="L45" s="227"/>
    </row>
    <row r="46" spans="1:18" s="29" customFormat="1">
      <c r="A46" s="156" t="s">
        <v>106</v>
      </c>
      <c r="B46" s="154"/>
      <c r="C46" s="349">
        <v>22060</v>
      </c>
      <c r="D46" s="360">
        <v>1445</v>
      </c>
      <c r="E46" s="360">
        <v>5836</v>
      </c>
      <c r="F46" s="360">
        <v>416</v>
      </c>
      <c r="G46" s="360">
        <v>1126</v>
      </c>
      <c r="H46" s="360">
        <v>0</v>
      </c>
      <c r="I46" s="360">
        <v>13237</v>
      </c>
      <c r="J46" s="360">
        <f t="shared" si="8"/>
        <v>22060</v>
      </c>
      <c r="L46" s="227"/>
    </row>
    <row r="47" spans="1:18" s="29" customFormat="1">
      <c r="A47" s="156" t="s">
        <v>120</v>
      </c>
      <c r="B47" s="154"/>
      <c r="C47" s="349">
        <v>0</v>
      </c>
      <c r="D47" s="360">
        <f>10000+5000+10000+4000</f>
        <v>29000</v>
      </c>
      <c r="E47" s="360">
        <v>10000</v>
      </c>
      <c r="F47" s="360"/>
      <c r="G47" s="360"/>
      <c r="H47" s="360">
        <v>701</v>
      </c>
      <c r="I47" s="360">
        <f>-25000-10000-701-4000</f>
        <v>-39701</v>
      </c>
      <c r="J47" s="360">
        <f t="shared" si="8"/>
        <v>0</v>
      </c>
      <c r="L47" s="227"/>
    </row>
    <row r="48" spans="1:18" s="29" customFormat="1" ht="14.1" hidden="1" customHeight="1">
      <c r="A48" s="480" t="s">
        <v>121</v>
      </c>
      <c r="B48" s="154"/>
      <c r="C48" s="349">
        <v>0</v>
      </c>
      <c r="D48" s="360">
        <v>0</v>
      </c>
      <c r="E48" s="360">
        <v>0</v>
      </c>
      <c r="F48" s="360">
        <v>0</v>
      </c>
      <c r="G48" s="360">
        <v>0</v>
      </c>
      <c r="H48" s="360">
        <v>0</v>
      </c>
      <c r="I48" s="360">
        <v>0</v>
      </c>
      <c r="J48" s="360">
        <f>SUM(D48:I48)</f>
        <v>0</v>
      </c>
      <c r="K48" s="29" t="s">
        <v>122</v>
      </c>
      <c r="L48" s="227"/>
    </row>
    <row r="49" spans="1:13" s="29" customFormat="1">
      <c r="A49" s="156" t="s">
        <v>123</v>
      </c>
      <c r="B49" s="154"/>
      <c r="C49" s="349">
        <f>148207-67255</f>
        <v>80952</v>
      </c>
      <c r="D49" s="360">
        <v>23304</v>
      </c>
      <c r="E49" s="360">
        <v>11417</v>
      </c>
      <c r="F49" s="360">
        <v>1528</v>
      </c>
      <c r="G49" s="360">
        <v>4132</v>
      </c>
      <c r="H49" s="360">
        <v>0</v>
      </c>
      <c r="I49" s="360">
        <v>40571</v>
      </c>
      <c r="J49" s="360">
        <f t="shared" si="8"/>
        <v>80952</v>
      </c>
      <c r="L49" s="227"/>
    </row>
    <row r="50" spans="1:13" s="29" customFormat="1">
      <c r="A50" s="156" t="s">
        <v>124</v>
      </c>
      <c r="B50" s="154"/>
      <c r="C50" s="239"/>
      <c r="D50" s="360">
        <f>-13000-3230</f>
        <v>-16230</v>
      </c>
      <c r="E50" s="360"/>
      <c r="F50" s="360"/>
      <c r="G50" s="360"/>
      <c r="H50" s="360"/>
      <c r="I50" s="360"/>
      <c r="J50" s="360">
        <f t="shared" si="8"/>
        <v>-16230</v>
      </c>
      <c r="L50" s="227"/>
    </row>
    <row r="51" spans="1:13" s="29" customFormat="1">
      <c r="A51" s="156" t="s">
        <v>125</v>
      </c>
      <c r="B51" s="154"/>
      <c r="C51" s="349">
        <v>0</v>
      </c>
      <c r="D51" s="362">
        <f>7000+6000</f>
        <v>13000</v>
      </c>
      <c r="E51" s="362"/>
      <c r="F51" s="362"/>
      <c r="G51" s="362"/>
      <c r="H51" s="362"/>
      <c r="I51" s="362"/>
      <c r="J51" s="364">
        <f t="shared" si="8"/>
        <v>13000</v>
      </c>
    </row>
    <row r="52" spans="1:13" s="29" customFormat="1">
      <c r="A52" s="156" t="s">
        <v>126</v>
      </c>
      <c r="B52" s="154"/>
      <c r="C52" s="349">
        <v>0</v>
      </c>
      <c r="D52" s="363">
        <v>3230</v>
      </c>
      <c r="E52" s="363">
        <v>0</v>
      </c>
      <c r="F52" s="363">
        <v>0</v>
      </c>
      <c r="G52" s="363">
        <v>0</v>
      </c>
      <c r="H52" s="363">
        <v>0</v>
      </c>
      <c r="I52" s="363">
        <v>0</v>
      </c>
      <c r="J52" s="362">
        <f t="shared" si="8"/>
        <v>3230</v>
      </c>
      <c r="K52" s="29" t="s">
        <v>122</v>
      </c>
    </row>
    <row r="53" spans="1:13" s="29" customFormat="1">
      <c r="A53" s="156" t="s">
        <v>110</v>
      </c>
      <c r="B53" s="154"/>
      <c r="C53" s="349">
        <v>67255</v>
      </c>
      <c r="D53" s="363">
        <f>4407+10000+15000+170</f>
        <v>29577</v>
      </c>
      <c r="E53" s="363">
        <v>17793</v>
      </c>
      <c r="F53" s="363">
        <v>1270</v>
      </c>
      <c r="G53" s="363">
        <f>8433+10000</f>
        <v>18433</v>
      </c>
      <c r="H53" s="363">
        <f>100+82</f>
        <v>182</v>
      </c>
      <c r="I53" s="363">
        <f>35252-10000-10000-15000-82-170</f>
        <v>0</v>
      </c>
      <c r="J53" s="363">
        <f t="shared" si="8"/>
        <v>67255</v>
      </c>
    </row>
    <row r="54" spans="1:13" s="151" customFormat="1">
      <c r="A54" s="145" t="s">
        <v>111</v>
      </c>
      <c r="B54" s="146"/>
      <c r="C54" s="147">
        <f>C36-C48-C49-C51-C52-C44-C53+C39-C46-C43-C42</f>
        <v>146098</v>
      </c>
      <c r="D54" s="270">
        <f>(D40-D47-D48-D49-D51-D46-D53-D52-D42-D43-D44-D45)+7670+36304+29000+1445+7000+7000+2343+7000+2066</f>
        <v>0.20664000000397209</v>
      </c>
      <c r="E54" s="270">
        <f>E40-E47-E48-E49-E51-E46-E45-E44-E43-E42-E53-E52</f>
        <v>38651.295920000004</v>
      </c>
      <c r="F54" s="270">
        <f>F40-F47-F48-F49-F51-F46-F45-F44-F43-F42-F53-F52</f>
        <v>2759.4441600000009</v>
      </c>
      <c r="G54" s="270">
        <f>G40-G47-G48-G49-G51-G46-G45-G53-G52-G42-G43-G44+2983+1126+1825+5000+1610</f>
        <v>-0.14672000000064145</v>
      </c>
      <c r="H54" s="270">
        <f>(H40-H47-H48-H49-H51-H46-H45-H53-H52-H42-H44)+182+701</f>
        <v>0</v>
      </c>
      <c r="I54" s="270">
        <f>(I40-I47-I48-I49-I51-I46-I45-I44-I43-I53-I52-I46)-49944-7000-7000-2343-1825-2066-1610</f>
        <v>104687.19999999995</v>
      </c>
      <c r="J54" s="270">
        <f t="shared" si="8"/>
        <v>146097.99999999994</v>
      </c>
      <c r="K54" s="381"/>
      <c r="L54" s="262"/>
      <c r="M54" s="381"/>
    </row>
    <row r="55" spans="1:13" s="29" customFormat="1" ht="15.6" thickBot="1">
      <c r="A55" s="153" t="s">
        <v>112</v>
      </c>
      <c r="B55" s="154"/>
      <c r="C55" s="79">
        <f t="shared" ref="C55:I55" si="9">SUM(C42:C54)</f>
        <v>383657</v>
      </c>
      <c r="D55" s="225">
        <f t="shared" si="9"/>
        <v>108735.20664</v>
      </c>
      <c r="E55" s="225">
        <f t="shared" si="9"/>
        <v>101500.29592</v>
      </c>
      <c r="F55" s="225">
        <f t="shared" si="9"/>
        <v>7243.4441600000009</v>
      </c>
      <c r="G55" s="225">
        <f t="shared" si="9"/>
        <v>32125.853279999999</v>
      </c>
      <c r="H55" s="225">
        <f t="shared" si="9"/>
        <v>883</v>
      </c>
      <c r="I55" s="225">
        <f t="shared" si="9"/>
        <v>133169.19999999995</v>
      </c>
      <c r="J55" s="225">
        <f t="shared" si="8"/>
        <v>383657</v>
      </c>
      <c r="K55" s="227">
        <f>+J55-C55</f>
        <v>0</v>
      </c>
    </row>
    <row r="56" spans="1:13" s="381" customFormat="1" ht="16.350000000000001" thickTop="1">
      <c r="A56" s="25" t="s">
        <v>127</v>
      </c>
      <c r="B56" s="26"/>
      <c r="C56" s="26"/>
      <c r="D56" s="226" t="s">
        <v>0</v>
      </c>
      <c r="E56" s="226" t="s">
        <v>1</v>
      </c>
      <c r="F56" s="226" t="s">
        <v>2</v>
      </c>
      <c r="G56" s="226" t="s">
        <v>3</v>
      </c>
      <c r="H56" s="226" t="s">
        <v>4</v>
      </c>
      <c r="I56" s="226" t="s">
        <v>34</v>
      </c>
      <c r="J56" s="226" t="s">
        <v>5</v>
      </c>
      <c r="K56" s="227"/>
      <c r="L56" s="29"/>
      <c r="M56" s="29"/>
    </row>
    <row r="57" spans="1:13" s="381" customFormat="1">
      <c r="A57" s="356" t="s">
        <v>89</v>
      </c>
      <c r="B57" s="357">
        <v>300000</v>
      </c>
      <c r="C57" s="357">
        <v>310000</v>
      </c>
      <c r="D57" s="27"/>
      <c r="E57" s="27"/>
      <c r="F57" s="27"/>
      <c r="G57" s="27"/>
      <c r="H57" s="27"/>
      <c r="I57" s="27"/>
      <c r="J57" s="27"/>
      <c r="K57" s="227"/>
      <c r="L57" s="29"/>
      <c r="M57" s="29"/>
    </row>
    <row r="58" spans="1:13" s="381" customFormat="1">
      <c r="A58" s="28" t="s">
        <v>90</v>
      </c>
      <c r="B58" s="16">
        <v>0</v>
      </c>
      <c r="C58" s="357">
        <v>0</v>
      </c>
      <c r="D58" s="27"/>
      <c r="E58" s="27"/>
      <c r="F58" s="27"/>
      <c r="G58" s="27"/>
      <c r="H58" s="27"/>
      <c r="I58" s="27"/>
      <c r="J58" s="27"/>
    </row>
    <row r="59" spans="1:13" s="381" customFormat="1">
      <c r="A59" s="28" t="s">
        <v>128</v>
      </c>
      <c r="B59" s="357">
        <v>10000</v>
      </c>
      <c r="C59" s="357"/>
      <c r="D59" s="27"/>
      <c r="E59" s="27"/>
      <c r="F59" s="27"/>
      <c r="G59" s="27"/>
      <c r="H59" s="27"/>
      <c r="I59" s="27"/>
      <c r="J59" s="27"/>
    </row>
    <row r="60" spans="1:13" s="381" customFormat="1">
      <c r="A60" s="28" t="s">
        <v>92</v>
      </c>
      <c r="B60" s="357">
        <v>0</v>
      </c>
      <c r="C60" s="357">
        <v>0</v>
      </c>
      <c r="D60" s="27"/>
      <c r="E60" s="27"/>
      <c r="F60" s="27"/>
      <c r="G60" s="27"/>
      <c r="H60" s="27"/>
      <c r="I60" s="27"/>
      <c r="J60" s="27"/>
    </row>
    <row r="61" spans="1:13" s="381" customFormat="1">
      <c r="A61" s="356" t="s">
        <v>93</v>
      </c>
      <c r="B61" s="357">
        <f>SUM(B57:B60)</f>
        <v>310000</v>
      </c>
      <c r="C61" s="357">
        <f>SUM(C57:C60)</f>
        <v>310000</v>
      </c>
      <c r="D61" s="27"/>
      <c r="E61" s="27"/>
      <c r="F61" s="27"/>
      <c r="G61" s="27"/>
      <c r="H61" s="27"/>
      <c r="I61" s="27"/>
      <c r="J61" s="27"/>
    </row>
    <row r="62" spans="1:13" s="381" customFormat="1">
      <c r="A62" s="356" t="s">
        <v>94</v>
      </c>
      <c r="B62" s="357">
        <v>0</v>
      </c>
      <c r="C62" s="357">
        <v>0</v>
      </c>
      <c r="D62" s="357">
        <v>0</v>
      </c>
      <c r="E62" s="357">
        <v>0</v>
      </c>
      <c r="F62" s="357">
        <v>0</v>
      </c>
      <c r="G62" s="357">
        <v>0</v>
      </c>
      <c r="H62" s="357">
        <v>0</v>
      </c>
      <c r="I62" s="357">
        <v>0</v>
      </c>
      <c r="J62" s="357">
        <f>SUM(D62:I62)</f>
        <v>0</v>
      </c>
    </row>
    <row r="63" spans="1:13" s="381" customFormat="1">
      <c r="A63" s="3" t="s">
        <v>95</v>
      </c>
      <c r="B63" s="357">
        <f>+B61-B62</f>
        <v>310000</v>
      </c>
      <c r="C63" s="357">
        <f>C61-C62</f>
        <v>310000</v>
      </c>
      <c r="D63" s="27"/>
      <c r="E63" s="27"/>
      <c r="F63" s="27"/>
      <c r="G63" s="27"/>
      <c r="H63" s="27"/>
      <c r="I63" s="27"/>
      <c r="J63" s="27"/>
    </row>
    <row r="64" spans="1:13" s="358" customFormat="1">
      <c r="A64" s="4"/>
      <c r="B64" s="5"/>
      <c r="C64" s="276"/>
      <c r="D64" s="361"/>
      <c r="E64" s="361"/>
      <c r="F64" s="361"/>
      <c r="G64" s="361"/>
      <c r="H64" s="361"/>
      <c r="I64" s="282"/>
      <c r="J64" s="361"/>
      <c r="K64" s="381"/>
    </row>
    <row r="65" spans="1:16" s="381" customFormat="1">
      <c r="A65" s="356" t="s">
        <v>117</v>
      </c>
      <c r="B65" s="357">
        <f>+B63</f>
        <v>310000</v>
      </c>
      <c r="C65" s="357">
        <f>SUM(D65:I65)</f>
        <v>310000</v>
      </c>
      <c r="D65" s="357"/>
      <c r="E65" s="357"/>
      <c r="F65" s="357"/>
      <c r="G65" s="357"/>
      <c r="H65" s="357"/>
      <c r="I65" s="357">
        <f>C63-D65-E65-F65-G65-H65</f>
        <v>310000</v>
      </c>
      <c r="J65" s="357">
        <f t="shared" ref="J65:J72" si="10">SUM(D65:I65)</f>
        <v>310000</v>
      </c>
    </row>
    <row r="66" spans="1:16" s="29" customFormat="1">
      <c r="A66" s="156" t="s">
        <v>1344</v>
      </c>
      <c r="B66" s="154"/>
      <c r="C66" s="349">
        <v>25482</v>
      </c>
      <c r="D66" s="360">
        <v>0</v>
      </c>
      <c r="E66" s="360">
        <v>0</v>
      </c>
      <c r="F66" s="360">
        <v>0</v>
      </c>
      <c r="G66" s="360">
        <v>0</v>
      </c>
      <c r="H66" s="360">
        <v>0</v>
      </c>
      <c r="I66" s="360">
        <v>25482</v>
      </c>
      <c r="J66" s="360">
        <f t="shared" si="10"/>
        <v>25482</v>
      </c>
    </row>
    <row r="67" spans="1:16" s="29" customFormat="1">
      <c r="A67" s="156" t="s">
        <v>1337</v>
      </c>
      <c r="B67" s="154"/>
      <c r="C67" s="349">
        <f>3410+25482</f>
        <v>28892</v>
      </c>
      <c r="D67" s="360">
        <v>0</v>
      </c>
      <c r="E67" s="360">
        <v>0</v>
      </c>
      <c r="F67" s="360">
        <v>0</v>
      </c>
      <c r="G67" s="360">
        <v>0</v>
      </c>
      <c r="H67" s="360">
        <v>0</v>
      </c>
      <c r="I67" s="360">
        <f>+C67</f>
        <v>28892</v>
      </c>
      <c r="J67" s="360">
        <f t="shared" si="10"/>
        <v>28892</v>
      </c>
    </row>
    <row r="68" spans="1:16" s="29" customFormat="1">
      <c r="A68" s="156" t="s">
        <v>106</v>
      </c>
      <c r="B68" s="154"/>
      <c r="C68" s="349">
        <v>17825</v>
      </c>
      <c r="D68" s="360">
        <v>0</v>
      </c>
      <c r="E68" s="360">
        <v>0</v>
      </c>
      <c r="F68" s="360">
        <v>0</v>
      </c>
      <c r="G68" s="360">
        <v>0</v>
      </c>
      <c r="H68" s="360">
        <v>0</v>
      </c>
      <c r="I68" s="360">
        <v>17825</v>
      </c>
      <c r="J68" s="364">
        <f t="shared" si="10"/>
        <v>17825</v>
      </c>
    </row>
    <row r="69" spans="1:16" s="29" customFormat="1">
      <c r="A69" s="156" t="s">
        <v>123</v>
      </c>
      <c r="B69" s="154"/>
      <c r="C69" s="349">
        <f>119753-54343</f>
        <v>65410</v>
      </c>
      <c r="D69" s="362">
        <v>0</v>
      </c>
      <c r="E69" s="362">
        <v>0</v>
      </c>
      <c r="F69" s="362">
        <v>0</v>
      </c>
      <c r="G69" s="362">
        <v>0</v>
      </c>
      <c r="H69" s="362">
        <v>0</v>
      </c>
      <c r="I69" s="362">
        <v>65410</v>
      </c>
      <c r="J69" s="364">
        <f t="shared" si="10"/>
        <v>65410</v>
      </c>
    </row>
    <row r="70" spans="1:16" s="29" customFormat="1">
      <c r="A70" s="156" t="s">
        <v>110</v>
      </c>
      <c r="B70" s="154"/>
      <c r="C70" s="349">
        <v>54343</v>
      </c>
      <c r="D70" s="363">
        <v>0</v>
      </c>
      <c r="E70" s="363">
        <v>0</v>
      </c>
      <c r="F70" s="363">
        <v>0</v>
      </c>
      <c r="G70" s="363">
        <v>0</v>
      </c>
      <c r="H70" s="363">
        <v>0</v>
      </c>
      <c r="I70" s="363">
        <f>+C70</f>
        <v>54343</v>
      </c>
      <c r="J70" s="364">
        <f t="shared" si="10"/>
        <v>54343</v>
      </c>
    </row>
    <row r="71" spans="1:16" s="381" customFormat="1">
      <c r="A71" s="145" t="s">
        <v>111</v>
      </c>
      <c r="B71" s="146"/>
      <c r="C71" s="147">
        <f>C63-C67-C69-C70-C68-C66</f>
        <v>118048</v>
      </c>
      <c r="D71" s="270">
        <v>0</v>
      </c>
      <c r="E71" s="270">
        <v>0</v>
      </c>
      <c r="F71" s="270">
        <v>0</v>
      </c>
      <c r="G71" s="270">
        <v>0</v>
      </c>
      <c r="H71" s="270">
        <v>0</v>
      </c>
      <c r="I71" s="270">
        <f>+I65-I69-I70-I68-I67-I66</f>
        <v>118048</v>
      </c>
      <c r="J71" s="270">
        <f t="shared" si="10"/>
        <v>118048</v>
      </c>
    </row>
    <row r="72" spans="1:16" s="29" customFormat="1" ht="15.6" thickBot="1">
      <c r="A72" s="153" t="s">
        <v>112</v>
      </c>
      <c r="B72" s="154"/>
      <c r="C72" s="79">
        <f>SUM(C66:C71)</f>
        <v>310000</v>
      </c>
      <c r="D72" s="225">
        <f>SUM(D66:D71)</f>
        <v>0</v>
      </c>
      <c r="E72" s="225">
        <f t="shared" ref="E72:I72" si="11">SUM(E66:E71)</f>
        <v>0</v>
      </c>
      <c r="F72" s="225">
        <f t="shared" si="11"/>
        <v>0</v>
      </c>
      <c r="G72" s="225">
        <f t="shared" si="11"/>
        <v>0</v>
      </c>
      <c r="H72" s="225">
        <f t="shared" si="11"/>
        <v>0</v>
      </c>
      <c r="I72" s="225">
        <f t="shared" si="11"/>
        <v>310000</v>
      </c>
      <c r="J72" s="225">
        <f t="shared" si="10"/>
        <v>310000</v>
      </c>
      <c r="K72" s="227"/>
    </row>
    <row r="73" spans="1:16" ht="16.350000000000001" thickTop="1">
      <c r="A73" s="25" t="s">
        <v>129</v>
      </c>
      <c r="B73" s="26"/>
      <c r="C73" s="26"/>
      <c r="D73" s="226" t="s">
        <v>0</v>
      </c>
      <c r="E73" s="226" t="s">
        <v>1</v>
      </c>
      <c r="F73" s="226" t="s">
        <v>2</v>
      </c>
      <c r="G73" s="226" t="s">
        <v>3</v>
      </c>
      <c r="H73" s="226" t="s">
        <v>4</v>
      </c>
      <c r="I73" s="226" t="s">
        <v>34</v>
      </c>
      <c r="J73" s="226" t="s">
        <v>5</v>
      </c>
      <c r="K73" s="381"/>
      <c r="L73" s="381"/>
      <c r="M73" s="381"/>
      <c r="N73" s="381"/>
      <c r="O73" s="381"/>
      <c r="P73" s="381"/>
    </row>
    <row r="74" spans="1:16">
      <c r="A74" s="356" t="s">
        <v>89</v>
      </c>
      <c r="B74" s="357">
        <v>194000</v>
      </c>
      <c r="C74" s="357">
        <f>B78</f>
        <v>219964</v>
      </c>
      <c r="D74" s="27"/>
      <c r="E74" s="27"/>
      <c r="F74" s="27"/>
      <c r="G74" s="27"/>
      <c r="H74" s="27"/>
      <c r="I74" s="27"/>
      <c r="J74" s="27"/>
      <c r="K74" s="381"/>
      <c r="L74" s="381"/>
      <c r="M74" s="381"/>
      <c r="N74" s="381"/>
      <c r="O74" s="381"/>
      <c r="P74" s="381"/>
    </row>
    <row r="75" spans="1:16">
      <c r="A75" s="28" t="s">
        <v>90</v>
      </c>
      <c r="B75" s="357">
        <v>2961</v>
      </c>
      <c r="C75" s="357">
        <v>4380</v>
      </c>
      <c r="D75" s="27"/>
      <c r="E75" s="27"/>
      <c r="F75" s="27"/>
      <c r="G75" s="27"/>
      <c r="H75" s="27"/>
      <c r="I75" s="27"/>
      <c r="J75" s="27"/>
      <c r="K75" s="381"/>
      <c r="L75" s="381"/>
      <c r="M75" s="381"/>
      <c r="N75" s="381"/>
      <c r="O75" s="381"/>
      <c r="P75" s="381"/>
    </row>
    <row r="76" spans="1:16">
      <c r="A76" s="28" t="s">
        <v>91</v>
      </c>
      <c r="B76" s="357">
        <v>23003</v>
      </c>
      <c r="C76" s="357">
        <v>2656</v>
      </c>
      <c r="D76" s="27"/>
      <c r="E76" s="27"/>
      <c r="F76" s="27"/>
      <c r="G76" s="27"/>
      <c r="H76" s="27"/>
      <c r="I76" s="27"/>
      <c r="J76" s="27"/>
      <c r="K76" s="381"/>
      <c r="L76" s="381"/>
      <c r="M76" s="381"/>
      <c r="N76" s="381"/>
      <c r="O76" s="381"/>
      <c r="P76" s="381"/>
    </row>
    <row r="77" spans="1:16">
      <c r="A77" s="28" t="s">
        <v>92</v>
      </c>
      <c r="B77" s="357">
        <v>0</v>
      </c>
      <c r="C77" s="357">
        <f>+C74*0</f>
        <v>0</v>
      </c>
      <c r="D77" s="27"/>
      <c r="E77" s="27"/>
      <c r="F77" s="27"/>
      <c r="G77" s="27"/>
      <c r="H77" s="27"/>
      <c r="I77" s="27"/>
      <c r="J77" s="27"/>
      <c r="K77" s="381"/>
      <c r="L77" s="381"/>
      <c r="M77" s="381"/>
      <c r="N77" s="381"/>
      <c r="O77" s="381"/>
      <c r="P77" s="381"/>
    </row>
    <row r="78" spans="1:16">
      <c r="A78" s="356" t="s">
        <v>93</v>
      </c>
      <c r="B78" s="357">
        <f>SUM(B74:B77)</f>
        <v>219964</v>
      </c>
      <c r="C78" s="357">
        <f>SUM(C74:C77)</f>
        <v>227000</v>
      </c>
      <c r="D78" s="27"/>
      <c r="E78" s="27"/>
      <c r="F78" s="27"/>
      <c r="G78" s="27"/>
      <c r="H78" s="27"/>
      <c r="I78" s="27"/>
      <c r="J78" s="27"/>
      <c r="K78" s="381"/>
      <c r="L78" s="381"/>
      <c r="M78" s="381"/>
      <c r="N78" s="381"/>
      <c r="O78" s="381"/>
      <c r="P78" s="381"/>
    </row>
    <row r="79" spans="1:16">
      <c r="A79" s="356" t="s">
        <v>94</v>
      </c>
      <c r="B79" s="357">
        <v>15470</v>
      </c>
      <c r="C79" s="357">
        <f>'DOI Prog&amp;SLA Summary'!L29</f>
        <v>19238.7533</v>
      </c>
      <c r="D79" s="360">
        <f>'DOI Prog&amp;SLA Summary'!E30</f>
        <v>11000</v>
      </c>
      <c r="E79" s="360">
        <f>'DOI Prog&amp;SLA Summary'!F30</f>
        <v>1464.5849499999999</v>
      </c>
      <c r="F79" s="360">
        <f>'DOI Prog&amp;SLA Summary'!G30</f>
        <v>0</v>
      </c>
      <c r="G79" s="360">
        <f>'DOI Prog&amp;SLA Summary'!H30</f>
        <v>549</v>
      </c>
      <c r="H79" s="360">
        <f>'DOI Prog&amp;SLA Summary'!I30</f>
        <v>5460.9801499999994</v>
      </c>
      <c r="I79" s="360">
        <f>'DOI Prog&amp;SLA Summary'!J30</f>
        <v>764.18820000000005</v>
      </c>
      <c r="J79" s="360">
        <f>SUM(D79:I79)</f>
        <v>19238.7533</v>
      </c>
      <c r="K79" s="381"/>
      <c r="L79" s="381"/>
      <c r="M79" s="381"/>
      <c r="N79" s="381"/>
      <c r="O79" s="381"/>
      <c r="P79" s="381"/>
    </row>
    <row r="80" spans="1:16">
      <c r="A80" s="3" t="s">
        <v>95</v>
      </c>
      <c r="B80" s="357">
        <f>B78-B79</f>
        <v>204494</v>
      </c>
      <c r="C80" s="357">
        <f>C78-C79</f>
        <v>207761.24669999999</v>
      </c>
      <c r="D80" s="27"/>
      <c r="E80" s="27"/>
      <c r="F80" s="27"/>
      <c r="G80" s="27"/>
      <c r="H80" s="27"/>
      <c r="I80" s="27"/>
      <c r="J80" s="27"/>
      <c r="K80" s="381"/>
      <c r="L80" s="381"/>
      <c r="M80" s="381"/>
      <c r="N80" s="381"/>
      <c r="O80" s="381"/>
      <c r="P80" s="381"/>
    </row>
    <row r="81" spans="1:16" s="7" customFormat="1">
      <c r="A81" s="4" t="s">
        <v>96</v>
      </c>
      <c r="B81" s="5"/>
      <c r="C81" s="276"/>
      <c r="D81" s="361">
        <f>+'Prep%Fuelspercentage.direct'!D26</f>
        <v>0.20119999999999999</v>
      </c>
      <c r="E81" s="361">
        <f>'Prep%Fuelspercentage.direct'!E26</f>
        <v>0.52869999999999995</v>
      </c>
      <c r="F81" s="361">
        <f>'Prep%Fuelspercentage.direct'!F26</f>
        <v>0.1265</v>
      </c>
      <c r="G81" s="361">
        <f>'Prep%Fuelspercentage.direct'!G26</f>
        <v>0.14360000000000001</v>
      </c>
      <c r="H81" s="361"/>
      <c r="I81" s="282"/>
      <c r="J81" s="361">
        <f>SUM(D81:I81)</f>
        <v>1</v>
      </c>
      <c r="K81" s="53" t="s">
        <v>97</v>
      </c>
      <c r="L81" s="367"/>
      <c r="M81" s="367"/>
      <c r="N81" s="367"/>
      <c r="O81" s="367"/>
      <c r="P81" s="368"/>
    </row>
    <row r="82" spans="1:16" s="348" customFormat="1">
      <c r="A82" s="356" t="s">
        <v>98</v>
      </c>
      <c r="B82" s="357">
        <v>2961</v>
      </c>
      <c r="C82" s="357">
        <f>'Prep%Fuelspercentage.direct'!C12</f>
        <v>4380</v>
      </c>
      <c r="D82" s="357">
        <f>'Prep%Fuelspercentage.direct'!D12</f>
        <v>459.0802139037433</v>
      </c>
      <c r="E82" s="357">
        <f>'Prep%Fuelspercentage.direct'!E12</f>
        <v>2122.0748663101604</v>
      </c>
      <c r="F82" s="357">
        <f>'Prep%Fuelspercentage.direct'!F12</f>
        <v>763.57219251336892</v>
      </c>
      <c r="G82" s="357">
        <f>'Prep%Fuelspercentage.direct'!G12</f>
        <v>1007.1657754010695</v>
      </c>
      <c r="H82" s="357">
        <f>'Prep%Fuelspercentage.direct'!H12</f>
        <v>28.106951871657756</v>
      </c>
      <c r="I82" s="357">
        <v>0</v>
      </c>
      <c r="J82" s="357">
        <f>SUM(D82:I82)</f>
        <v>4380</v>
      </c>
      <c r="K82" s="29"/>
      <c r="L82" s="29"/>
      <c r="M82" s="368"/>
      <c r="N82" s="29"/>
      <c r="O82" s="29"/>
      <c r="P82" s="29"/>
    </row>
    <row r="83" spans="1:16" s="381" customFormat="1">
      <c r="A83" s="356" t="s">
        <v>99</v>
      </c>
      <c r="B83" s="357">
        <v>22000</v>
      </c>
      <c r="C83" s="357">
        <v>22000</v>
      </c>
      <c r="D83" s="357">
        <v>3857</v>
      </c>
      <c r="E83" s="357">
        <v>8699</v>
      </c>
      <c r="F83" s="357">
        <v>5721</v>
      </c>
      <c r="G83" s="357">
        <v>3723</v>
      </c>
      <c r="H83" s="357"/>
      <c r="I83" s="357"/>
      <c r="J83" s="357">
        <f t="shared" ref="J83" si="12">SUM(D83:I83)</f>
        <v>22000</v>
      </c>
      <c r="K83" s="29"/>
      <c r="L83" s="29"/>
      <c r="M83" s="368"/>
      <c r="N83" s="29"/>
      <c r="O83" s="29"/>
      <c r="P83" s="29"/>
    </row>
    <row r="84" spans="1:16">
      <c r="A84" s="356" t="s">
        <v>117</v>
      </c>
      <c r="B84" s="357">
        <f>B80-B82-B83-B85-B86</f>
        <v>164033</v>
      </c>
      <c r="C84" s="357">
        <f>C80-C82-C83-C85-C86</f>
        <v>165881.24669999999</v>
      </c>
      <c r="D84" s="357">
        <f>($C$84-$H84-$I84)*D81</f>
        <v>33197.446036039997</v>
      </c>
      <c r="E84" s="357">
        <f>($C$84-$H84-$I84)*E81</f>
        <v>87234.04433028998</v>
      </c>
      <c r="F84" s="357">
        <f>($C$84-$H84-$I84)*F81</f>
        <v>20872.151707549998</v>
      </c>
      <c r="G84" s="357">
        <f>($C$84-$H84-$I84)*G81</f>
        <v>23693.604626119999</v>
      </c>
      <c r="H84" s="357">
        <f>912-28+173-173</f>
        <v>884</v>
      </c>
      <c r="I84" s="357"/>
      <c r="J84" s="357">
        <f>SUM(D84:I84)</f>
        <v>165881.24669999999</v>
      </c>
      <c r="K84" s="29"/>
      <c r="L84" s="29"/>
      <c r="M84" s="29"/>
      <c r="N84" s="29"/>
      <c r="O84" s="29"/>
      <c r="P84" s="29"/>
    </row>
    <row r="85" spans="1:16" s="381" customFormat="1">
      <c r="A85" s="356" t="s">
        <v>130</v>
      </c>
      <c r="B85" s="357">
        <v>14500</v>
      </c>
      <c r="C85" s="357">
        <v>14500</v>
      </c>
      <c r="D85" s="357">
        <v>2542</v>
      </c>
      <c r="E85" s="357">
        <v>5733</v>
      </c>
      <c r="F85" s="357">
        <v>3771</v>
      </c>
      <c r="G85" s="357">
        <v>2454</v>
      </c>
      <c r="H85" s="357">
        <v>0</v>
      </c>
      <c r="I85" s="357">
        <v>0</v>
      </c>
      <c r="J85" s="357">
        <f>SUM(D85:I85)</f>
        <v>14500</v>
      </c>
      <c r="K85" s="29"/>
      <c r="L85" s="29"/>
      <c r="M85" s="29"/>
      <c r="N85" s="29"/>
      <c r="O85" s="29"/>
      <c r="P85" s="29"/>
    </row>
    <row r="86" spans="1:16" s="381" customFormat="1">
      <c r="A86" s="356" t="s">
        <v>131</v>
      </c>
      <c r="B86" s="357">
        <v>1000</v>
      </c>
      <c r="C86" s="357">
        <v>1000</v>
      </c>
      <c r="D86" s="357">
        <v>0</v>
      </c>
      <c r="E86" s="357">
        <v>0</v>
      </c>
      <c r="F86" s="357">
        <v>0</v>
      </c>
      <c r="G86" s="357">
        <v>0</v>
      </c>
      <c r="H86" s="357">
        <v>0</v>
      </c>
      <c r="I86" s="357">
        <v>1000</v>
      </c>
      <c r="J86" s="357">
        <f>SUM(D86:I86)</f>
        <v>1000</v>
      </c>
      <c r="K86" s="29"/>
      <c r="L86" s="29"/>
      <c r="M86" s="29"/>
      <c r="N86" s="29"/>
      <c r="O86" s="29"/>
      <c r="P86" s="29"/>
    </row>
    <row r="87" spans="1:16">
      <c r="A87" s="356" t="s">
        <v>102</v>
      </c>
      <c r="B87" s="357">
        <v>260</v>
      </c>
      <c r="C87" s="357">
        <f>'DOI Prog&amp;SLA Summary'!D63</f>
        <v>387.2595</v>
      </c>
      <c r="D87" s="357">
        <f>'DOI Prog&amp;SLA Summary'!E63</f>
        <v>-55</v>
      </c>
      <c r="E87" s="357">
        <f>('DOI Prog&amp;SLA Summary'!F63)</f>
        <v>121.14899</v>
      </c>
      <c r="F87" s="357">
        <f>'DOI Prog&amp;SLA Summary'!G63</f>
        <v>-42.471139999999998</v>
      </c>
      <c r="G87" s="357">
        <f>'DOI Prog&amp;SLA Summary'!H63</f>
        <v>-98.677850000000007</v>
      </c>
      <c r="H87" s="357">
        <f>'DOI Prog&amp;SLA Summary'!I63</f>
        <v>0</v>
      </c>
      <c r="I87" s="357">
        <f>'DOI Prog&amp;SLA Summary'!J63</f>
        <v>75</v>
      </c>
      <c r="J87" s="357">
        <f>SUM(D87:I87)</f>
        <v>0</v>
      </c>
      <c r="K87" s="29"/>
      <c r="L87" s="29"/>
      <c r="M87" s="29"/>
      <c r="N87" s="29"/>
      <c r="O87" s="29"/>
      <c r="P87" s="29"/>
    </row>
    <row r="88" spans="1:16" s="354" customFormat="1">
      <c r="A88" s="275" t="s">
        <v>103</v>
      </c>
      <c r="B88" s="357">
        <v>0</v>
      </c>
      <c r="C88" s="357">
        <v>0</v>
      </c>
      <c r="D88" s="357">
        <v>0</v>
      </c>
      <c r="E88" s="357">
        <v>0</v>
      </c>
      <c r="F88" s="357">
        <v>0</v>
      </c>
      <c r="G88" s="357">
        <v>0</v>
      </c>
      <c r="H88" s="357">
        <v>0</v>
      </c>
      <c r="I88" s="357">
        <v>0</v>
      </c>
      <c r="J88" s="357">
        <v>0</v>
      </c>
      <c r="K88" s="29"/>
      <c r="L88" s="29"/>
      <c r="M88" s="29"/>
      <c r="N88" s="29"/>
      <c r="O88" s="29"/>
      <c r="P88" s="29"/>
    </row>
    <row r="89" spans="1:16">
      <c r="A89" s="356" t="s">
        <v>104</v>
      </c>
      <c r="B89" s="357"/>
      <c r="C89" s="17"/>
      <c r="D89" s="350">
        <f>D79+D82+D83+D84+D85+D86+D87+D88</f>
        <v>51000.526249943738</v>
      </c>
      <c r="E89" s="350">
        <f t="shared" ref="E89:I89" si="13">E79+E82+E83+E84+E85+E86+E87+E88</f>
        <v>105373.85313660014</v>
      </c>
      <c r="F89" s="350">
        <f t="shared" si="13"/>
        <v>31085.252760063366</v>
      </c>
      <c r="G89" s="350">
        <f t="shared" si="13"/>
        <v>31328.092551521069</v>
      </c>
      <c r="H89" s="350">
        <f t="shared" si="13"/>
        <v>6373.0871018716571</v>
      </c>
      <c r="I89" s="350">
        <f t="shared" si="13"/>
        <v>1839.1882000000001</v>
      </c>
      <c r="J89" s="350">
        <f t="shared" ref="J89:J98" si="14">SUM(D89:I89)</f>
        <v>226999.99999999997</v>
      </c>
      <c r="K89" s="29"/>
      <c r="L89" s="29"/>
      <c r="M89" s="29"/>
      <c r="N89" s="29"/>
      <c r="O89" s="29"/>
      <c r="P89" s="29"/>
    </row>
    <row r="90" spans="1:16">
      <c r="A90" s="144" t="s">
        <v>105</v>
      </c>
      <c r="B90" s="143"/>
      <c r="C90" s="143"/>
      <c r="D90" s="279">
        <f t="shared" ref="D90:I90" si="15">D89/$J89</f>
        <v>0.22467192180591958</v>
      </c>
      <c r="E90" s="279">
        <f t="shared" si="15"/>
        <v>0.46420199619647645</v>
      </c>
      <c r="F90" s="279">
        <f t="shared" si="15"/>
        <v>0.1369394394716448</v>
      </c>
      <c r="G90" s="279">
        <f t="shared" si="15"/>
        <v>0.1380092182886391</v>
      </c>
      <c r="H90" s="279">
        <f t="shared" si="15"/>
        <v>2.8075273576527126E-2</v>
      </c>
      <c r="I90" s="279">
        <f t="shared" si="15"/>
        <v>8.1021506607929523E-3</v>
      </c>
      <c r="J90" s="279">
        <f t="shared" si="14"/>
        <v>1</v>
      </c>
      <c r="K90" s="29"/>
      <c r="L90" s="29"/>
      <c r="M90" s="29"/>
      <c r="N90" s="29"/>
      <c r="O90" s="29"/>
      <c r="P90" s="29"/>
    </row>
    <row r="91" spans="1:16" s="381" customFormat="1">
      <c r="A91" s="156" t="s">
        <v>1344</v>
      </c>
      <c r="B91" s="154"/>
      <c r="C91" s="349">
        <v>18081</v>
      </c>
      <c r="D91" s="363">
        <v>4050</v>
      </c>
      <c r="E91" s="363">
        <v>8515</v>
      </c>
      <c r="F91" s="363">
        <v>2514</v>
      </c>
      <c r="G91" s="363">
        <v>2527</v>
      </c>
      <c r="H91" s="363">
        <v>330</v>
      </c>
      <c r="I91" s="363">
        <v>145</v>
      </c>
      <c r="J91" s="360">
        <f t="shared" si="14"/>
        <v>18081</v>
      </c>
      <c r="K91" s="29"/>
      <c r="L91" s="29"/>
      <c r="M91" s="29"/>
      <c r="N91" s="29"/>
      <c r="O91" s="29"/>
      <c r="P91" s="29"/>
    </row>
    <row r="92" spans="1:16" s="381" customFormat="1">
      <c r="A92" s="156" t="s">
        <v>1337</v>
      </c>
      <c r="B92" s="154"/>
      <c r="C92" s="349">
        <f>2419+18081</f>
        <v>20500</v>
      </c>
      <c r="D92" s="363">
        <v>4592</v>
      </c>
      <c r="E92" s="363">
        <v>9654</v>
      </c>
      <c r="F92" s="363">
        <v>2851</v>
      </c>
      <c r="G92" s="363">
        <v>2865</v>
      </c>
      <c r="H92" s="363">
        <v>373</v>
      </c>
      <c r="I92" s="363">
        <v>165</v>
      </c>
      <c r="J92" s="360">
        <f t="shared" si="14"/>
        <v>20500</v>
      </c>
      <c r="K92" s="29"/>
      <c r="L92" s="29"/>
      <c r="M92" s="29"/>
      <c r="N92" s="29"/>
      <c r="O92" s="29"/>
      <c r="P92" s="29"/>
    </row>
    <row r="93" spans="1:16" s="381" customFormat="1">
      <c r="A93" s="156" t="s">
        <v>106</v>
      </c>
      <c r="B93" s="154"/>
      <c r="C93" s="349">
        <v>12648</v>
      </c>
      <c r="D93" s="363">
        <v>2833</v>
      </c>
      <c r="E93" s="363">
        <v>5957</v>
      </c>
      <c r="F93" s="363">
        <v>1759</v>
      </c>
      <c r="G93" s="363">
        <v>1768</v>
      </c>
      <c r="H93" s="363">
        <v>230</v>
      </c>
      <c r="I93" s="363">
        <v>101</v>
      </c>
      <c r="J93" s="360">
        <f t="shared" si="14"/>
        <v>12648</v>
      </c>
      <c r="K93" s="29"/>
      <c r="L93" s="29"/>
      <c r="M93" s="29"/>
      <c r="N93" s="29"/>
      <c r="O93" s="29"/>
      <c r="P93" s="29"/>
    </row>
    <row r="94" spans="1:16" s="29" customFormat="1">
      <c r="A94" s="156" t="s">
        <v>123</v>
      </c>
      <c r="B94" s="154"/>
      <c r="C94" s="349">
        <f>84972-38560</f>
        <v>46412</v>
      </c>
      <c r="D94" s="360">
        <v>10401</v>
      </c>
      <c r="E94" s="360">
        <v>20848</v>
      </c>
      <c r="F94" s="360">
        <v>6453</v>
      </c>
      <c r="G94" s="360">
        <v>6474</v>
      </c>
      <c r="H94" s="360">
        <v>1864</v>
      </c>
      <c r="I94" s="360">
        <v>372</v>
      </c>
      <c r="J94" s="360">
        <f t="shared" si="14"/>
        <v>46412</v>
      </c>
    </row>
    <row r="95" spans="1:16" s="29" customFormat="1">
      <c r="A95" s="156" t="s">
        <v>108</v>
      </c>
      <c r="B95" s="154"/>
      <c r="C95" s="349">
        <v>0</v>
      </c>
      <c r="D95" s="360">
        <v>7000</v>
      </c>
      <c r="E95" s="360"/>
      <c r="F95" s="360"/>
      <c r="G95" s="360"/>
      <c r="H95" s="360"/>
      <c r="I95" s="360"/>
      <c r="J95" s="364">
        <f t="shared" ref="J95:J96" si="16">SUM(D95:I95)</f>
        <v>7000</v>
      </c>
    </row>
    <row r="96" spans="1:16" s="29" customFormat="1">
      <c r="A96" s="156" t="s">
        <v>132</v>
      </c>
      <c r="B96" s="154"/>
      <c r="C96" s="349">
        <v>0</v>
      </c>
      <c r="D96" s="362">
        <f>-7000</f>
        <v>-7000</v>
      </c>
      <c r="E96" s="362"/>
      <c r="F96" s="362"/>
      <c r="G96" s="362"/>
      <c r="H96" s="362"/>
      <c r="I96" s="362"/>
      <c r="J96" s="364">
        <f t="shared" si="16"/>
        <v>-7000</v>
      </c>
    </row>
    <row r="97" spans="1:16" s="29" customFormat="1">
      <c r="A97" s="156" t="s">
        <v>110</v>
      </c>
      <c r="B97" s="154"/>
      <c r="C97" s="349">
        <v>38560</v>
      </c>
      <c r="D97" s="360">
        <v>8641</v>
      </c>
      <c r="E97" s="360">
        <f>18011+800</f>
        <v>18811</v>
      </c>
      <c r="F97" s="360">
        <v>5361</v>
      </c>
      <c r="G97" s="360">
        <v>5379</v>
      </c>
      <c r="H97" s="360">
        <f>860-500</f>
        <v>360</v>
      </c>
      <c r="I97" s="360">
        <f>308-300</f>
        <v>8</v>
      </c>
      <c r="J97" s="360">
        <f t="shared" si="14"/>
        <v>38560</v>
      </c>
    </row>
    <row r="98" spans="1:16" s="151" customFormat="1">
      <c r="A98" s="145" t="s">
        <v>111</v>
      </c>
      <c r="B98" s="146"/>
      <c r="C98" s="147">
        <f>C78-C97+C88-C94-C93-C92-C91</f>
        <v>90799</v>
      </c>
      <c r="D98" s="147">
        <f t="shared" ref="D98:I98" si="17">+D88+D89-D91-D92-D93-D94-D95-D96-D97</f>
        <v>20483.526249943738</v>
      </c>
      <c r="E98" s="147">
        <f t="shared" si="17"/>
        <v>41588.853136600141</v>
      </c>
      <c r="F98" s="147">
        <f t="shared" si="17"/>
        <v>12147.252760063366</v>
      </c>
      <c r="G98" s="147">
        <f t="shared" si="17"/>
        <v>12315.092551521069</v>
      </c>
      <c r="H98" s="147">
        <f t="shared" si="17"/>
        <v>3216.0871018716571</v>
      </c>
      <c r="I98" s="147">
        <f t="shared" si="17"/>
        <v>1048.1882000000001</v>
      </c>
      <c r="J98" s="147">
        <f t="shared" si="14"/>
        <v>90798.999999999971</v>
      </c>
      <c r="K98" s="381"/>
      <c r="L98" s="381"/>
      <c r="M98" s="381"/>
      <c r="N98" s="381"/>
      <c r="O98" s="381"/>
      <c r="P98" s="381"/>
    </row>
    <row r="99" spans="1:16" s="29" customFormat="1" ht="15.6" thickBot="1">
      <c r="A99" s="153" t="s">
        <v>112</v>
      </c>
      <c r="B99" s="154"/>
      <c r="C99" s="79">
        <f t="shared" ref="C99:I99" si="18">SUM(C91:C98)</f>
        <v>227000</v>
      </c>
      <c r="D99" s="155">
        <f t="shared" si="18"/>
        <v>51000.526249943738</v>
      </c>
      <c r="E99" s="155">
        <f t="shared" si="18"/>
        <v>105373.85313660014</v>
      </c>
      <c r="F99" s="155">
        <f t="shared" si="18"/>
        <v>31085.252760063366</v>
      </c>
      <c r="G99" s="155">
        <f t="shared" si="18"/>
        <v>31328.092551521069</v>
      </c>
      <c r="H99" s="155">
        <f t="shared" si="18"/>
        <v>6373.0871018716571</v>
      </c>
      <c r="I99" s="155">
        <f t="shared" si="18"/>
        <v>1839.1882000000001</v>
      </c>
      <c r="J99" s="155">
        <f>SUM(D99:I99)</f>
        <v>226999.99999999997</v>
      </c>
    </row>
    <row r="100" spans="1:16" s="151" customFormat="1" ht="16.350000000000001" thickTop="1">
      <c r="A100" s="25" t="s">
        <v>133</v>
      </c>
      <c r="B100" s="26"/>
      <c r="C100" s="26"/>
      <c r="D100" s="226" t="s">
        <v>0</v>
      </c>
      <c r="E100" s="226" t="s">
        <v>1</v>
      </c>
      <c r="F100" s="226" t="s">
        <v>2</v>
      </c>
      <c r="G100" s="226" t="s">
        <v>3</v>
      </c>
      <c r="H100" s="226" t="s">
        <v>4</v>
      </c>
      <c r="I100" s="226" t="s">
        <v>34</v>
      </c>
      <c r="J100" s="226" t="s">
        <v>5</v>
      </c>
      <c r="K100" s="381"/>
      <c r="L100" s="262"/>
      <c r="M100" s="381"/>
      <c r="N100" s="381"/>
      <c r="O100" s="381"/>
      <c r="P100" s="381"/>
    </row>
    <row r="101" spans="1:16" s="151" customFormat="1">
      <c r="A101" s="356" t="s">
        <v>89</v>
      </c>
      <c r="B101" s="16"/>
      <c r="C101" s="357">
        <v>0</v>
      </c>
      <c r="D101" s="27"/>
      <c r="E101" s="27"/>
      <c r="F101" s="27"/>
      <c r="G101" s="27"/>
      <c r="H101" s="27"/>
      <c r="I101" s="27"/>
      <c r="J101" s="27"/>
      <c r="K101" s="381"/>
      <c r="L101" s="381"/>
      <c r="M101" s="381"/>
      <c r="N101" s="381"/>
      <c r="O101" s="381"/>
      <c r="P101" s="381"/>
    </row>
    <row r="102" spans="1:16" s="151" customFormat="1">
      <c r="A102" s="28" t="s">
        <v>90</v>
      </c>
      <c r="B102" s="16"/>
      <c r="C102" s="357">
        <v>0</v>
      </c>
      <c r="D102" s="27"/>
      <c r="E102" s="27"/>
      <c r="F102" s="27"/>
      <c r="G102" s="27"/>
      <c r="H102" s="27"/>
      <c r="I102" s="27"/>
      <c r="J102" s="27"/>
      <c r="K102" s="381"/>
      <c r="L102" s="381"/>
      <c r="M102" s="381"/>
      <c r="N102" s="381"/>
      <c r="O102" s="381"/>
      <c r="P102" s="381"/>
    </row>
    <row r="103" spans="1:16" s="151" customFormat="1">
      <c r="A103" s="28" t="s">
        <v>91</v>
      </c>
      <c r="B103" s="16"/>
      <c r="C103" s="357">
        <v>100000</v>
      </c>
      <c r="D103" s="27"/>
      <c r="E103" s="27"/>
      <c r="F103" s="27"/>
      <c r="G103" s="27"/>
      <c r="H103" s="27"/>
      <c r="I103" s="27"/>
      <c r="J103" s="27"/>
      <c r="K103" s="381"/>
      <c r="L103" s="381"/>
      <c r="M103" s="381"/>
      <c r="N103" s="381"/>
      <c r="O103" s="381"/>
      <c r="P103" s="381"/>
    </row>
    <row r="104" spans="1:16" s="151" customFormat="1">
      <c r="A104" s="28" t="s">
        <v>92</v>
      </c>
      <c r="B104" s="16"/>
      <c r="C104" s="357"/>
      <c r="D104" s="27"/>
      <c r="E104" s="27"/>
      <c r="F104" s="27"/>
      <c r="G104" s="27"/>
      <c r="H104" s="27"/>
      <c r="I104" s="27"/>
      <c r="J104" s="27"/>
      <c r="K104" s="381"/>
    </row>
    <row r="105" spans="1:16" s="151" customFormat="1">
      <c r="A105" s="356" t="s">
        <v>93</v>
      </c>
      <c r="B105" s="357"/>
      <c r="C105" s="357">
        <f>SUM(C101:C104)</f>
        <v>100000</v>
      </c>
      <c r="D105" s="27"/>
      <c r="E105" s="27"/>
      <c r="F105" s="27"/>
      <c r="G105" s="27"/>
      <c r="H105" s="27"/>
      <c r="I105" s="27"/>
      <c r="J105" s="27"/>
      <c r="K105" s="381"/>
    </row>
    <row r="106" spans="1:16" s="151" customFormat="1">
      <c r="A106" s="356" t="s">
        <v>94</v>
      </c>
      <c r="B106" s="357"/>
      <c r="C106" s="357"/>
      <c r="D106" s="357"/>
      <c r="E106" s="357"/>
      <c r="F106" s="357"/>
      <c r="G106" s="357"/>
      <c r="H106" s="357"/>
      <c r="I106" s="357"/>
      <c r="J106" s="357"/>
      <c r="K106" s="381"/>
    </row>
    <row r="107" spans="1:16" s="151" customFormat="1">
      <c r="A107" s="274" t="s">
        <v>134</v>
      </c>
      <c r="B107" s="357"/>
      <c r="C107" s="357">
        <v>0</v>
      </c>
      <c r="D107" s="357"/>
      <c r="E107" s="357"/>
      <c r="F107" s="357"/>
      <c r="G107" s="357"/>
      <c r="H107" s="357"/>
      <c r="I107" s="357">
        <v>0</v>
      </c>
      <c r="J107" s="357">
        <f>SUM(D107:I107)</f>
        <v>0</v>
      </c>
      <c r="K107" s="381"/>
    </row>
    <row r="108" spans="1:16" s="151" customFormat="1">
      <c r="A108" s="3" t="s">
        <v>95</v>
      </c>
      <c r="B108" s="357">
        <f>B105-B106</f>
        <v>0</v>
      </c>
      <c r="C108" s="357">
        <f>C105-C106-C107</f>
        <v>100000</v>
      </c>
      <c r="D108" s="27"/>
      <c r="E108" s="27"/>
      <c r="F108" s="27"/>
      <c r="G108" s="27"/>
      <c r="H108" s="27"/>
      <c r="I108" s="27"/>
      <c r="J108" s="27"/>
      <c r="K108" s="381"/>
    </row>
    <row r="109" spans="1:16" s="7" customFormat="1">
      <c r="A109" s="4" t="s">
        <v>96</v>
      </c>
      <c r="B109" s="5"/>
      <c r="C109" s="5"/>
      <c r="D109" s="183"/>
      <c r="E109" s="183"/>
      <c r="F109" s="183"/>
      <c r="G109" s="183"/>
      <c r="H109" s="183"/>
      <c r="I109" s="6"/>
      <c r="J109" s="15">
        <f>SUM(D109:I109)</f>
        <v>0</v>
      </c>
      <c r="K109" s="381"/>
    </row>
    <row r="110" spans="1:16" s="151" customFormat="1">
      <c r="A110" s="356" t="s">
        <v>117</v>
      </c>
      <c r="B110" s="357"/>
      <c r="C110" s="357"/>
      <c r="D110" s="357"/>
      <c r="E110" s="357"/>
      <c r="F110" s="357"/>
      <c r="G110" s="357"/>
      <c r="H110" s="357"/>
      <c r="I110" s="357"/>
      <c r="J110" s="357">
        <f>SUM(D110:I110)</f>
        <v>0</v>
      </c>
      <c r="K110" s="381"/>
    </row>
    <row r="111" spans="1:16" s="151" customFormat="1">
      <c r="A111" s="356" t="s">
        <v>135</v>
      </c>
      <c r="B111" s="357"/>
      <c r="C111" s="357">
        <v>55000</v>
      </c>
      <c r="D111" s="357">
        <v>11066</v>
      </c>
      <c r="E111" s="357">
        <v>29078</v>
      </c>
      <c r="F111" s="357">
        <v>6958</v>
      </c>
      <c r="G111" s="357">
        <v>7898</v>
      </c>
      <c r="H111" s="357"/>
      <c r="I111" s="357">
        <f>55000-D111-E111-F111-G111</f>
        <v>0</v>
      </c>
      <c r="J111" s="357">
        <f t="shared" ref="J111:J112" si="19">SUM(D111:I111)</f>
        <v>55000</v>
      </c>
      <c r="K111" s="381"/>
    </row>
    <row r="112" spans="1:16" s="381" customFormat="1">
      <c r="A112" s="356" t="s">
        <v>136</v>
      </c>
      <c r="B112" s="357"/>
      <c r="C112" s="357">
        <v>45000</v>
      </c>
      <c r="D112" s="357">
        <v>15473</v>
      </c>
      <c r="E112" s="357">
        <v>23568</v>
      </c>
      <c r="F112" s="357">
        <v>1077</v>
      </c>
      <c r="G112" s="357">
        <v>4882</v>
      </c>
      <c r="H112" s="357"/>
      <c r="I112" s="357">
        <f>45000-D112-E112-F112-G112</f>
        <v>0</v>
      </c>
      <c r="J112" s="357">
        <f t="shared" si="19"/>
        <v>45000</v>
      </c>
    </row>
    <row r="113" spans="1:12" s="151" customFormat="1">
      <c r="A113" s="356" t="s">
        <v>112</v>
      </c>
      <c r="B113" s="357"/>
      <c r="C113" s="17"/>
      <c r="D113" s="17">
        <f>D106+D107+D110+D111+D112</f>
        <v>26539</v>
      </c>
      <c r="E113" s="17">
        <f t="shared" ref="E113:H113" si="20">E106+E107+E110+E111+E112</f>
        <v>52646</v>
      </c>
      <c r="F113" s="17">
        <f t="shared" si="20"/>
        <v>8035</v>
      </c>
      <c r="G113" s="17">
        <f t="shared" si="20"/>
        <v>12780</v>
      </c>
      <c r="H113" s="17">
        <f t="shared" si="20"/>
        <v>0</v>
      </c>
      <c r="I113" s="17">
        <f>I106+I107+I110+I111+I112</f>
        <v>0</v>
      </c>
      <c r="J113" s="17">
        <f>J106+J107+J110+J111+J112</f>
        <v>100000</v>
      </c>
      <c r="K113" s="381"/>
    </row>
    <row r="114" spans="1:12" s="151" customFormat="1">
      <c r="A114" s="275" t="s">
        <v>103</v>
      </c>
      <c r="B114" s="357">
        <v>0</v>
      </c>
      <c r="C114" s="357">
        <v>0</v>
      </c>
      <c r="D114" s="357">
        <v>0</v>
      </c>
      <c r="E114" s="357">
        <v>0</v>
      </c>
      <c r="F114" s="357">
        <v>0</v>
      </c>
      <c r="G114" s="357">
        <v>0</v>
      </c>
      <c r="H114" s="357">
        <v>0</v>
      </c>
      <c r="I114" s="357">
        <v>0</v>
      </c>
      <c r="J114" s="357">
        <v>0</v>
      </c>
      <c r="K114" s="381"/>
    </row>
    <row r="115" spans="1:12" s="151" customFormat="1">
      <c r="A115" s="356" t="s">
        <v>104</v>
      </c>
      <c r="B115" s="357"/>
      <c r="C115" s="17">
        <f>C107</f>
        <v>0</v>
      </c>
      <c r="D115" s="223">
        <f>D113+D114</f>
        <v>26539</v>
      </c>
      <c r="E115" s="223">
        <f t="shared" ref="E115:J115" si="21">E113+E114</f>
        <v>52646</v>
      </c>
      <c r="F115" s="223">
        <f t="shared" si="21"/>
        <v>8035</v>
      </c>
      <c r="G115" s="223">
        <f t="shared" si="21"/>
        <v>12780</v>
      </c>
      <c r="H115" s="223">
        <f t="shared" si="21"/>
        <v>0</v>
      </c>
      <c r="I115" s="223">
        <f t="shared" si="21"/>
        <v>0</v>
      </c>
      <c r="J115" s="223">
        <f t="shared" si="21"/>
        <v>100000</v>
      </c>
      <c r="K115" s="381"/>
    </row>
    <row r="116" spans="1:12" s="151" customFormat="1">
      <c r="A116" s="144" t="s">
        <v>105</v>
      </c>
      <c r="B116" s="143"/>
      <c r="C116" s="143"/>
      <c r="D116" s="351"/>
      <c r="E116" s="351"/>
      <c r="F116" s="351"/>
      <c r="G116" s="351"/>
      <c r="H116" s="351"/>
      <c r="I116" s="351"/>
      <c r="J116" s="224">
        <f>SUM(D116:I116)</f>
        <v>0</v>
      </c>
      <c r="K116" s="381"/>
    </row>
    <row r="117" spans="1:12" s="29" customFormat="1">
      <c r="A117" s="156" t="s">
        <v>1341</v>
      </c>
      <c r="B117" s="154"/>
      <c r="C117" s="79">
        <v>100000</v>
      </c>
      <c r="D117" s="225">
        <f>+D115</f>
        <v>26539</v>
      </c>
      <c r="E117" s="225">
        <f>+E115</f>
        <v>52646</v>
      </c>
      <c r="F117" s="225">
        <f>+F115</f>
        <v>8035</v>
      </c>
      <c r="G117" s="225">
        <f>+G115</f>
        <v>12780</v>
      </c>
      <c r="H117" s="225"/>
      <c r="I117" s="225"/>
      <c r="J117" s="225">
        <f>SUM(D117:I117)</f>
        <v>100000</v>
      </c>
    </row>
    <row r="118" spans="1:12" s="151" customFormat="1">
      <c r="A118" s="145" t="s">
        <v>111</v>
      </c>
      <c r="B118" s="146"/>
      <c r="C118" s="147">
        <f>C105-C117</f>
        <v>0</v>
      </c>
      <c r="D118" s="270">
        <f>D113-D117</f>
        <v>0</v>
      </c>
      <c r="E118" s="270">
        <f t="shared" ref="E118:J118" si="22">E113-E117</f>
        <v>0</v>
      </c>
      <c r="F118" s="270">
        <f t="shared" si="22"/>
        <v>0</v>
      </c>
      <c r="G118" s="270">
        <f t="shared" si="22"/>
        <v>0</v>
      </c>
      <c r="H118" s="270">
        <f t="shared" si="22"/>
        <v>0</v>
      </c>
      <c r="I118" s="270">
        <f t="shared" si="22"/>
        <v>0</v>
      </c>
      <c r="J118" s="270">
        <f t="shared" si="22"/>
        <v>0</v>
      </c>
      <c r="K118" s="381"/>
    </row>
    <row r="119" spans="1:12" s="29" customFormat="1" ht="15.6" thickBot="1">
      <c r="A119" s="153" t="s">
        <v>112</v>
      </c>
      <c r="B119" s="154"/>
      <c r="C119" s="79">
        <f>SUM(C117:C118)</f>
        <v>100000</v>
      </c>
      <c r="D119" s="225">
        <f>SUM(D117:D118)</f>
        <v>26539</v>
      </c>
      <c r="E119" s="225">
        <f t="shared" ref="E119:J119" si="23">SUM(E117:E118)</f>
        <v>52646</v>
      </c>
      <c r="F119" s="225">
        <f t="shared" si="23"/>
        <v>8035</v>
      </c>
      <c r="G119" s="225">
        <f t="shared" si="23"/>
        <v>12780</v>
      </c>
      <c r="H119" s="225">
        <f t="shared" si="23"/>
        <v>0</v>
      </c>
      <c r="I119" s="225">
        <f t="shared" si="23"/>
        <v>0</v>
      </c>
      <c r="J119" s="225">
        <f t="shared" si="23"/>
        <v>100000</v>
      </c>
    </row>
    <row r="120" spans="1:12" s="381" customFormat="1" ht="16.350000000000001" thickTop="1">
      <c r="A120" s="25" t="s">
        <v>137</v>
      </c>
      <c r="B120" s="26"/>
      <c r="C120" s="26"/>
      <c r="D120" s="226" t="s">
        <v>0</v>
      </c>
      <c r="E120" s="226" t="s">
        <v>1</v>
      </c>
      <c r="F120" s="226" t="s">
        <v>2</v>
      </c>
      <c r="G120" s="226" t="s">
        <v>3</v>
      </c>
      <c r="H120" s="226" t="s">
        <v>4</v>
      </c>
      <c r="I120" s="226" t="s">
        <v>34</v>
      </c>
      <c r="J120" s="226" t="s">
        <v>5</v>
      </c>
      <c r="L120" s="262"/>
    </row>
    <row r="121" spans="1:12" s="381" customFormat="1">
      <c r="A121" s="356" t="s">
        <v>89</v>
      </c>
      <c r="B121" s="16"/>
      <c r="C121" s="357">
        <v>0</v>
      </c>
      <c r="D121" s="27"/>
      <c r="E121" s="27"/>
      <c r="F121" s="27"/>
      <c r="G121" s="27"/>
      <c r="H121" s="27"/>
      <c r="I121" s="27"/>
      <c r="J121" s="27"/>
    </row>
    <row r="122" spans="1:12" s="381" customFormat="1">
      <c r="A122" s="28" t="s">
        <v>90</v>
      </c>
      <c r="B122" s="16"/>
      <c r="C122" s="357">
        <v>0</v>
      </c>
      <c r="D122" s="27"/>
      <c r="E122" s="27"/>
      <c r="F122" s="27"/>
      <c r="G122" s="27"/>
      <c r="H122" s="27"/>
      <c r="I122" s="27"/>
      <c r="J122" s="27"/>
    </row>
    <row r="123" spans="1:12" s="381" customFormat="1">
      <c r="A123" s="28" t="s">
        <v>91</v>
      </c>
      <c r="B123" s="16"/>
      <c r="C123" s="357">
        <v>407600</v>
      </c>
      <c r="D123" s="27"/>
      <c r="E123" s="27"/>
      <c r="F123" s="27"/>
      <c r="G123" s="27"/>
      <c r="H123" s="27"/>
      <c r="I123" s="27"/>
      <c r="J123" s="27"/>
    </row>
    <row r="124" spans="1:12" s="381" customFormat="1">
      <c r="A124" s="28" t="s">
        <v>92</v>
      </c>
      <c r="B124" s="16"/>
      <c r="C124" s="357"/>
      <c r="D124" s="27"/>
      <c r="E124" s="27"/>
      <c r="F124" s="27"/>
      <c r="G124" s="27"/>
      <c r="H124" s="27"/>
      <c r="I124" s="27"/>
      <c r="J124" s="27"/>
    </row>
    <row r="125" spans="1:12" s="381" customFormat="1">
      <c r="A125" s="356" t="s">
        <v>93</v>
      </c>
      <c r="B125" s="357"/>
      <c r="C125" s="357">
        <f>SUM(C121:C124)</f>
        <v>407600</v>
      </c>
      <c r="D125" s="27"/>
      <c r="E125" s="27"/>
      <c r="F125" s="27"/>
      <c r="G125" s="27"/>
      <c r="H125" s="27"/>
      <c r="I125" s="27"/>
      <c r="J125" s="27"/>
    </row>
    <row r="126" spans="1:12" s="381" customFormat="1">
      <c r="A126" s="356" t="s">
        <v>94</v>
      </c>
      <c r="B126" s="357"/>
      <c r="C126" s="357">
        <f>SUM(D126:I126)</f>
        <v>2038</v>
      </c>
      <c r="D126" s="357"/>
      <c r="E126" s="357"/>
      <c r="F126" s="357"/>
      <c r="G126" s="357"/>
      <c r="H126" s="357"/>
      <c r="I126" s="357">
        <f>ROUND(407600*0.005,0)</f>
        <v>2038</v>
      </c>
      <c r="J126" s="357">
        <f>SUM(D126:I126)</f>
        <v>2038</v>
      </c>
      <c r="K126" s="381" t="s">
        <v>138</v>
      </c>
    </row>
    <row r="127" spans="1:12" s="381" customFormat="1">
      <c r="A127" s="274" t="s">
        <v>134</v>
      </c>
      <c r="B127" s="357"/>
      <c r="C127" s="357">
        <v>0</v>
      </c>
      <c r="D127" s="357"/>
      <c r="E127" s="357"/>
      <c r="F127" s="357"/>
      <c r="G127" s="357"/>
      <c r="H127" s="357"/>
      <c r="I127" s="357">
        <v>0</v>
      </c>
      <c r="J127" s="357">
        <f>SUM(D127:I127)</f>
        <v>0</v>
      </c>
    </row>
    <row r="128" spans="1:12" s="381" customFormat="1">
      <c r="A128" s="3" t="s">
        <v>95</v>
      </c>
      <c r="B128" s="357">
        <f>B125-B126</f>
        <v>0</v>
      </c>
      <c r="C128" s="357">
        <f>C125-C126-C127</f>
        <v>405562</v>
      </c>
      <c r="D128" s="27"/>
      <c r="E128" s="27"/>
      <c r="F128" s="27"/>
      <c r="G128" s="27"/>
      <c r="H128" s="27"/>
      <c r="I128" s="27"/>
      <c r="J128" s="27"/>
    </row>
    <row r="129" spans="1:11" s="358" customFormat="1">
      <c r="A129" s="4" t="s">
        <v>96</v>
      </c>
      <c r="B129" s="5"/>
      <c r="C129" s="5"/>
      <c r="D129" s="183"/>
      <c r="E129" s="183"/>
      <c r="F129" s="183"/>
      <c r="G129" s="183"/>
      <c r="H129" s="183"/>
      <c r="I129" s="6"/>
      <c r="J129" s="15">
        <f>SUM(D129:I129)</f>
        <v>0</v>
      </c>
      <c r="K129" s="381"/>
    </row>
    <row r="130" spans="1:11" s="381" customFormat="1">
      <c r="A130" s="356" t="s">
        <v>117</v>
      </c>
      <c r="B130" s="357"/>
      <c r="C130" s="357"/>
      <c r="D130" s="357"/>
      <c r="E130" s="357"/>
      <c r="F130" s="357"/>
      <c r="G130" s="357"/>
      <c r="H130" s="357"/>
      <c r="I130" s="357"/>
      <c r="J130" s="357">
        <f>SUM(D130:I130)</f>
        <v>0</v>
      </c>
    </row>
    <row r="131" spans="1:11" s="381" customFormat="1">
      <c r="A131" s="356" t="s">
        <v>139</v>
      </c>
      <c r="B131" s="357"/>
      <c r="C131" s="357">
        <f>ROUND(75940*0.995,0)</f>
        <v>75560</v>
      </c>
      <c r="D131" s="357">
        <v>0</v>
      </c>
      <c r="E131" s="357">
        <v>0</v>
      </c>
      <c r="F131" s="357">
        <v>0</v>
      </c>
      <c r="G131" s="357">
        <v>0</v>
      </c>
      <c r="H131" s="357">
        <v>0</v>
      </c>
      <c r="I131" s="357">
        <f>+C131</f>
        <v>75560</v>
      </c>
      <c r="J131" s="357">
        <f t="shared" ref="J131:J134" si="24">SUM(D131:I131)</f>
        <v>75560</v>
      </c>
    </row>
    <row r="132" spans="1:11" s="381" customFormat="1">
      <c r="A132" s="356" t="s">
        <v>140</v>
      </c>
      <c r="B132" s="357"/>
      <c r="C132" s="357">
        <f>ROUND(252560*0.995,0)</f>
        <v>251297</v>
      </c>
      <c r="D132" s="357">
        <v>0</v>
      </c>
      <c r="E132" s="357">
        <v>0</v>
      </c>
      <c r="F132" s="357">
        <v>0</v>
      </c>
      <c r="G132" s="357">
        <v>0</v>
      </c>
      <c r="H132" s="357">
        <v>0</v>
      </c>
      <c r="I132" s="357">
        <f>+C132</f>
        <v>251297</v>
      </c>
      <c r="J132" s="357">
        <f t="shared" si="24"/>
        <v>251297</v>
      </c>
    </row>
    <row r="133" spans="1:11" s="381" customFormat="1">
      <c r="A133" s="356" t="s">
        <v>141</v>
      </c>
      <c r="B133" s="357"/>
      <c r="C133" s="357">
        <f>ROUND(76000*0.995,0)</f>
        <v>75620</v>
      </c>
      <c r="D133" s="357">
        <v>0</v>
      </c>
      <c r="E133" s="357">
        <v>0</v>
      </c>
      <c r="F133" s="357">
        <v>0</v>
      </c>
      <c r="G133" s="357">
        <v>0</v>
      </c>
      <c r="H133" s="357">
        <v>0</v>
      </c>
      <c r="I133" s="357">
        <f>+C133</f>
        <v>75620</v>
      </c>
      <c r="J133" s="357">
        <f t="shared" si="24"/>
        <v>75620</v>
      </c>
    </row>
    <row r="134" spans="1:11" s="381" customFormat="1">
      <c r="A134" s="356" t="s">
        <v>142</v>
      </c>
      <c r="B134" s="357"/>
      <c r="C134" s="357">
        <f>ROUND(3100*0.995,0)</f>
        <v>3085</v>
      </c>
      <c r="D134" s="357">
        <v>0</v>
      </c>
      <c r="E134" s="357">
        <v>0</v>
      </c>
      <c r="F134" s="357">
        <v>0</v>
      </c>
      <c r="G134" s="357">
        <v>0</v>
      </c>
      <c r="H134" s="357">
        <v>0</v>
      </c>
      <c r="I134" s="357">
        <f>+C134</f>
        <v>3085</v>
      </c>
      <c r="J134" s="357">
        <f t="shared" si="24"/>
        <v>3085</v>
      </c>
    </row>
    <row r="135" spans="1:11" s="381" customFormat="1">
      <c r="A135" s="356" t="s">
        <v>112</v>
      </c>
      <c r="B135" s="357"/>
      <c r="C135" s="17"/>
      <c r="D135" s="17">
        <f t="shared" ref="D135:H135" si="25">D126+D127+D130+D131+D132+D133+D134</f>
        <v>0</v>
      </c>
      <c r="E135" s="17">
        <f t="shared" si="25"/>
        <v>0</v>
      </c>
      <c r="F135" s="17">
        <f t="shared" si="25"/>
        <v>0</v>
      </c>
      <c r="G135" s="17">
        <f t="shared" si="25"/>
        <v>0</v>
      </c>
      <c r="H135" s="17">
        <f t="shared" si="25"/>
        <v>0</v>
      </c>
      <c r="I135" s="17">
        <f>I126+I127+I130+I131+I132+I133+I134</f>
        <v>407600</v>
      </c>
      <c r="J135" s="17">
        <f>J126+J127+J130+J131+J132+J133+J134</f>
        <v>407600</v>
      </c>
    </row>
    <row r="136" spans="1:11" s="381" customFormat="1">
      <c r="A136" s="275" t="s">
        <v>103</v>
      </c>
      <c r="B136" s="357">
        <v>0</v>
      </c>
      <c r="C136" s="357">
        <v>0</v>
      </c>
      <c r="D136" s="357">
        <v>0</v>
      </c>
      <c r="E136" s="357">
        <v>0</v>
      </c>
      <c r="F136" s="357">
        <v>0</v>
      </c>
      <c r="G136" s="357">
        <v>0</v>
      </c>
      <c r="H136" s="357">
        <v>0</v>
      </c>
      <c r="I136" s="357">
        <v>0</v>
      </c>
      <c r="J136" s="357">
        <v>0</v>
      </c>
    </row>
    <row r="137" spans="1:11" s="381" customFormat="1">
      <c r="A137" s="356" t="s">
        <v>104</v>
      </c>
      <c r="B137" s="357"/>
      <c r="C137" s="17">
        <f>C127</f>
        <v>0</v>
      </c>
      <c r="D137" s="223">
        <f>D135+D136</f>
        <v>0</v>
      </c>
      <c r="E137" s="223">
        <f t="shared" ref="E137:J137" si="26">E135+E136</f>
        <v>0</v>
      </c>
      <c r="F137" s="223">
        <f t="shared" si="26"/>
        <v>0</v>
      </c>
      <c r="G137" s="223">
        <f t="shared" si="26"/>
        <v>0</v>
      </c>
      <c r="H137" s="223">
        <f t="shared" si="26"/>
        <v>0</v>
      </c>
      <c r="I137" s="223">
        <f t="shared" si="26"/>
        <v>407600</v>
      </c>
      <c r="J137" s="223">
        <f t="shared" si="26"/>
        <v>407600</v>
      </c>
    </row>
    <row r="138" spans="1:11" s="381" customFormat="1">
      <c r="A138" s="144" t="s">
        <v>105</v>
      </c>
      <c r="B138" s="143"/>
      <c r="C138" s="143"/>
      <c r="D138" s="351"/>
      <c r="E138" s="351"/>
      <c r="F138" s="351"/>
      <c r="G138" s="351"/>
      <c r="H138" s="351"/>
      <c r="I138" s="351"/>
      <c r="J138" s="224">
        <f>SUM(D138:I138)</f>
        <v>0</v>
      </c>
    </row>
    <row r="139" spans="1:11" s="29" customFormat="1">
      <c r="A139" s="156" t="s">
        <v>1341</v>
      </c>
      <c r="B139" s="154"/>
      <c r="C139" s="79">
        <v>407600</v>
      </c>
      <c r="D139" s="225">
        <v>0</v>
      </c>
      <c r="E139" s="225">
        <v>0</v>
      </c>
      <c r="F139" s="225">
        <v>0</v>
      </c>
      <c r="G139" s="225">
        <v>0</v>
      </c>
      <c r="H139" s="225">
        <v>0</v>
      </c>
      <c r="I139" s="225">
        <f>+I137</f>
        <v>407600</v>
      </c>
      <c r="J139" s="225">
        <f>SUM(D139:I139)</f>
        <v>407600</v>
      </c>
    </row>
    <row r="140" spans="1:11" s="381" customFormat="1">
      <c r="A140" s="145" t="s">
        <v>111</v>
      </c>
      <c r="B140" s="146"/>
      <c r="C140" s="147">
        <f>C125-C139</f>
        <v>0</v>
      </c>
      <c r="D140" s="270">
        <f>D135-D139</f>
        <v>0</v>
      </c>
      <c r="E140" s="270">
        <f t="shared" ref="E140:J140" si="27">E135-E139</f>
        <v>0</v>
      </c>
      <c r="F140" s="270">
        <f t="shared" si="27"/>
        <v>0</v>
      </c>
      <c r="G140" s="270">
        <f t="shared" si="27"/>
        <v>0</v>
      </c>
      <c r="H140" s="270">
        <f t="shared" si="27"/>
        <v>0</v>
      </c>
      <c r="I140" s="270">
        <f t="shared" si="27"/>
        <v>0</v>
      </c>
      <c r="J140" s="270">
        <f t="shared" si="27"/>
        <v>0</v>
      </c>
    </row>
    <row r="141" spans="1:11" s="29" customFormat="1" ht="15.6" thickBot="1">
      <c r="A141" s="153" t="s">
        <v>112</v>
      </c>
      <c r="B141" s="154"/>
      <c r="C141" s="79">
        <f>SUM(C139:C140)</f>
        <v>407600</v>
      </c>
      <c r="D141" s="225">
        <f>SUM(D139:D140)</f>
        <v>0</v>
      </c>
      <c r="E141" s="225">
        <f t="shared" ref="E141:J141" si="28">SUM(E139:E140)</f>
        <v>0</v>
      </c>
      <c r="F141" s="225">
        <f t="shared" si="28"/>
        <v>0</v>
      </c>
      <c r="G141" s="225">
        <f t="shared" si="28"/>
        <v>0</v>
      </c>
      <c r="H141" s="225">
        <f t="shared" si="28"/>
        <v>0</v>
      </c>
      <c r="I141" s="225">
        <f t="shared" si="28"/>
        <v>407600</v>
      </c>
      <c r="J141" s="225">
        <f t="shared" si="28"/>
        <v>407600</v>
      </c>
    </row>
    <row r="142" spans="1:11" ht="16.350000000000001" thickTop="1">
      <c r="A142" s="25" t="s">
        <v>143</v>
      </c>
      <c r="B142" s="26"/>
      <c r="C142" s="26"/>
      <c r="D142" s="226" t="s">
        <v>0</v>
      </c>
      <c r="E142" s="226" t="s">
        <v>1</v>
      </c>
      <c r="F142" s="226" t="s">
        <v>2</v>
      </c>
      <c r="G142" s="226" t="s">
        <v>3</v>
      </c>
      <c r="H142" s="226" t="s">
        <v>4</v>
      </c>
      <c r="I142" s="226" t="s">
        <v>34</v>
      </c>
      <c r="J142" s="226" t="s">
        <v>5</v>
      </c>
    </row>
    <row r="143" spans="1:11">
      <c r="A143" s="356" t="s">
        <v>89</v>
      </c>
      <c r="B143" s="357">
        <v>20470</v>
      </c>
      <c r="C143" s="357">
        <f>B147</f>
        <v>20470</v>
      </c>
      <c r="D143" s="27"/>
      <c r="E143" s="27"/>
      <c r="F143" s="27"/>
      <c r="G143" s="27"/>
      <c r="H143" s="27"/>
      <c r="I143" s="27"/>
      <c r="J143" s="27"/>
    </row>
    <row r="144" spans="1:11" s="151" customFormat="1">
      <c r="A144" s="28" t="s">
        <v>90</v>
      </c>
      <c r="B144" s="16">
        <v>0</v>
      </c>
      <c r="C144" s="357">
        <v>0</v>
      </c>
      <c r="D144" s="27"/>
      <c r="E144" s="27"/>
      <c r="F144" s="27"/>
      <c r="G144" s="27"/>
      <c r="H144" s="27"/>
      <c r="I144" s="27"/>
      <c r="J144" s="27"/>
    </row>
    <row r="145" spans="1:10">
      <c r="A145" s="28" t="s">
        <v>91</v>
      </c>
      <c r="B145" s="357">
        <v>0</v>
      </c>
      <c r="C145" s="357">
        <v>2000</v>
      </c>
      <c r="D145" s="27"/>
      <c r="E145" s="27"/>
      <c r="F145" s="27"/>
      <c r="G145" s="27"/>
      <c r="H145" s="27"/>
      <c r="I145" s="27"/>
      <c r="J145" s="27"/>
    </row>
    <row r="146" spans="1:10">
      <c r="A146" s="28" t="s">
        <v>92</v>
      </c>
      <c r="B146" s="357">
        <v>0</v>
      </c>
      <c r="C146" s="357">
        <f>-C143*0</f>
        <v>0</v>
      </c>
      <c r="D146" s="27"/>
      <c r="E146" s="27"/>
      <c r="F146" s="27"/>
      <c r="G146" s="27"/>
      <c r="H146" s="27"/>
      <c r="I146" s="27"/>
      <c r="J146" s="27"/>
    </row>
    <row r="147" spans="1:10">
      <c r="A147" s="356" t="s">
        <v>93</v>
      </c>
      <c r="B147" s="357">
        <f>SUM(B143:B146)</f>
        <v>20470</v>
      </c>
      <c r="C147" s="357">
        <f>SUM(C143:C146)</f>
        <v>22470</v>
      </c>
      <c r="D147" s="27"/>
      <c r="E147" s="27"/>
      <c r="F147" s="27"/>
      <c r="G147" s="27"/>
      <c r="H147" s="27"/>
      <c r="I147" s="27"/>
      <c r="J147" s="27"/>
    </row>
    <row r="148" spans="1:10">
      <c r="A148" s="356" t="s">
        <v>94</v>
      </c>
      <c r="B148" s="357">
        <v>967</v>
      </c>
      <c r="C148" s="360">
        <f>'DOI Prog&amp;SLA Summary'!K34</f>
        <v>1111</v>
      </c>
      <c r="D148" s="360">
        <f>'DOI Prog&amp;SLA Summary'!E34</f>
        <v>240</v>
      </c>
      <c r="E148" s="360">
        <f>'DOI Prog&amp;SLA Summary'!F34</f>
        <v>249</v>
      </c>
      <c r="F148" s="360">
        <f>'DOI Prog&amp;SLA Summary'!G34</f>
        <v>227</v>
      </c>
      <c r="G148" s="360">
        <f>'DOI Prog&amp;SLA Summary'!H34</f>
        <v>392</v>
      </c>
      <c r="H148" s="360">
        <f>'DOI Prog&amp;SLA Summary'!I34</f>
        <v>3</v>
      </c>
      <c r="I148" s="360">
        <f>'DOI Prog&amp;SLA Summary'!J34</f>
        <v>0</v>
      </c>
      <c r="J148" s="360">
        <f>SUM(D148:I148)</f>
        <v>1111</v>
      </c>
    </row>
    <row r="149" spans="1:10" s="151" customFormat="1">
      <c r="A149" s="274" t="s">
        <v>134</v>
      </c>
      <c r="B149" s="357">
        <v>0</v>
      </c>
      <c r="C149" s="357">
        <v>0</v>
      </c>
      <c r="D149" s="357"/>
      <c r="E149" s="357"/>
      <c r="F149" s="357"/>
      <c r="G149" s="357"/>
      <c r="H149" s="357"/>
      <c r="I149" s="357">
        <v>0</v>
      </c>
      <c r="J149" s="357">
        <f>SUM(D149:I149)</f>
        <v>0</v>
      </c>
    </row>
    <row r="150" spans="1:10">
      <c r="A150" s="3" t="s">
        <v>95</v>
      </c>
      <c r="B150" s="357">
        <f>B147-B148</f>
        <v>19503</v>
      </c>
      <c r="C150" s="357">
        <f>C147-C148</f>
        <v>21359</v>
      </c>
      <c r="D150" s="27"/>
      <c r="E150" s="27"/>
      <c r="F150" s="27"/>
      <c r="G150" s="27"/>
      <c r="H150" s="27"/>
      <c r="I150" s="27"/>
      <c r="J150" s="27"/>
    </row>
    <row r="151" spans="1:10" s="151" customFormat="1">
      <c r="A151" s="356" t="s">
        <v>117</v>
      </c>
      <c r="B151" s="357">
        <f>B150</f>
        <v>19503</v>
      </c>
      <c r="C151" s="350">
        <f>SUM(D151:I151)</f>
        <v>21359</v>
      </c>
      <c r="D151" s="365">
        <f>('Prep%Fuelspercentage.direct'!D19)</f>
        <v>5324.7987000000003</v>
      </c>
      <c r="E151" s="365">
        <f>('Prep%Fuelspercentage.direct'!E19)</f>
        <v>11899.098900000001</v>
      </c>
      <c r="F151" s="365">
        <f>('Prep%Fuelspercentage.direct'!F19)</f>
        <v>1482.3146000000002</v>
      </c>
      <c r="G151" s="365">
        <f>('Prep%Fuelspercentage.direct'!G19)</f>
        <v>2652.7878000000001</v>
      </c>
      <c r="H151" s="350">
        <f>'Prep%Fuelspercentage.direct'!H19</f>
        <v>0</v>
      </c>
      <c r="I151" s="350">
        <f>'Prep%Fuelspercentage.direct'!I19</f>
        <v>0</v>
      </c>
      <c r="J151" s="350">
        <f t="shared" ref="J151:J161" si="29">SUM(D151:I151)</f>
        <v>21359</v>
      </c>
    </row>
    <row r="152" spans="1:10" s="151" customFormat="1">
      <c r="A152" s="275" t="s">
        <v>103</v>
      </c>
      <c r="B152" s="357">
        <v>0</v>
      </c>
      <c r="C152" s="357">
        <v>0</v>
      </c>
      <c r="D152" s="309">
        <f>($C152*'Prep%Fuelspercentage.direct'!D18)</f>
        <v>0</v>
      </c>
      <c r="E152" s="309">
        <f>$C152*'Prep%Fuelspercentage.direct'!E18</f>
        <v>0</v>
      </c>
      <c r="F152" s="309">
        <f>$C152*'Prep%Fuelspercentage.direct'!F18</f>
        <v>0</v>
      </c>
      <c r="G152" s="309">
        <f>($C152*'Prep%Fuelspercentage.direct'!G18)</f>
        <v>0</v>
      </c>
      <c r="H152" s="357">
        <f>$C152*'Prep%Fuelspercentage.direct'!H18</f>
        <v>0</v>
      </c>
      <c r="I152" s="357">
        <f>$C152*'Prep%Fuelspercentage.direct'!I18</f>
        <v>0</v>
      </c>
      <c r="J152" s="357">
        <f t="shared" si="29"/>
        <v>0</v>
      </c>
    </row>
    <row r="153" spans="1:10">
      <c r="A153" s="356" t="s">
        <v>104</v>
      </c>
      <c r="B153" s="357"/>
      <c r="C153" s="17">
        <f>SUM(C151:C152)+C148</f>
        <v>22470</v>
      </c>
      <c r="D153" s="17">
        <f t="shared" ref="D153:I153" si="30">SUM(D151:D152)+D148</f>
        <v>5564.7987000000003</v>
      </c>
      <c r="E153" s="17">
        <f t="shared" si="30"/>
        <v>12148.098900000001</v>
      </c>
      <c r="F153" s="17">
        <f t="shared" si="30"/>
        <v>1709.3146000000002</v>
      </c>
      <c r="G153" s="17">
        <f t="shared" si="30"/>
        <v>3044.7878000000001</v>
      </c>
      <c r="H153" s="17">
        <f t="shared" si="30"/>
        <v>3</v>
      </c>
      <c r="I153" s="17">
        <f t="shared" si="30"/>
        <v>0</v>
      </c>
      <c r="J153" s="17">
        <f t="shared" si="29"/>
        <v>22470</v>
      </c>
    </row>
    <row r="154" spans="1:10" s="381" customFormat="1">
      <c r="A154" s="144" t="s">
        <v>105</v>
      </c>
      <c r="B154" s="143"/>
      <c r="C154" s="143"/>
      <c r="D154" s="279">
        <f>+ROUND(+D153/$C$153,4)</f>
        <v>0.2477</v>
      </c>
      <c r="E154" s="279">
        <f t="shared" ref="E154:J154" si="31">+ROUND(+E153/$C$153,4)</f>
        <v>0.54059999999999997</v>
      </c>
      <c r="F154" s="279">
        <f t="shared" si="31"/>
        <v>7.6100000000000001E-2</v>
      </c>
      <c r="G154" s="279">
        <f t="shared" si="31"/>
        <v>0.13550000000000001</v>
      </c>
      <c r="H154" s="279">
        <f t="shared" si="31"/>
        <v>1E-4</v>
      </c>
      <c r="I154" s="279">
        <f t="shared" si="31"/>
        <v>0</v>
      </c>
      <c r="J154" s="279">
        <f t="shared" si="31"/>
        <v>1</v>
      </c>
    </row>
    <row r="155" spans="1:10" s="381" customFormat="1">
      <c r="A155" s="156" t="s">
        <v>1344</v>
      </c>
      <c r="B155" s="154"/>
      <c r="C155" s="349">
        <v>1682</v>
      </c>
      <c r="D155" s="360">
        <v>416</v>
      </c>
      <c r="E155" s="360">
        <v>905</v>
      </c>
      <c r="F155" s="360">
        <v>129</v>
      </c>
      <c r="G155" s="360">
        <v>230</v>
      </c>
      <c r="H155" s="360">
        <v>2</v>
      </c>
      <c r="I155" s="360">
        <v>0</v>
      </c>
      <c r="J155" s="360">
        <f t="shared" si="29"/>
        <v>1682</v>
      </c>
    </row>
    <row r="156" spans="1:10" s="381" customFormat="1">
      <c r="A156" s="156" t="s">
        <v>1337</v>
      </c>
      <c r="B156" s="154"/>
      <c r="C156" s="349">
        <f>225+1682</f>
        <v>1907</v>
      </c>
      <c r="D156" s="360">
        <v>472</v>
      </c>
      <c r="E156" s="360">
        <v>1029</v>
      </c>
      <c r="F156" s="360">
        <v>146</v>
      </c>
      <c r="G156" s="360">
        <v>260</v>
      </c>
      <c r="H156" s="360">
        <v>0</v>
      </c>
      <c r="I156" s="360">
        <v>0</v>
      </c>
      <c r="J156" s="360">
        <f t="shared" si="29"/>
        <v>1907</v>
      </c>
    </row>
    <row r="157" spans="1:10" s="29" customFormat="1">
      <c r="A157" s="156" t="s">
        <v>106</v>
      </c>
      <c r="B157" s="154"/>
      <c r="C157" s="349">
        <v>1177</v>
      </c>
      <c r="D157" s="360">
        <v>292</v>
      </c>
      <c r="E157" s="360">
        <v>636</v>
      </c>
      <c r="F157" s="360">
        <v>91</v>
      </c>
      <c r="G157" s="360">
        <v>158</v>
      </c>
      <c r="H157" s="360"/>
      <c r="I157" s="360"/>
      <c r="J157" s="360">
        <f>SUM(D157:I157)</f>
        <v>1177</v>
      </c>
    </row>
    <row r="158" spans="1:10" s="29" customFormat="1">
      <c r="A158" s="156" t="s">
        <v>123</v>
      </c>
      <c r="B158" s="154"/>
      <c r="C158" s="349">
        <f>7907-3588</f>
        <v>4319</v>
      </c>
      <c r="D158" s="360">
        <v>1072</v>
      </c>
      <c r="E158" s="360">
        <v>2335</v>
      </c>
      <c r="F158" s="360">
        <v>332</v>
      </c>
      <c r="G158" s="360">
        <v>580</v>
      </c>
      <c r="H158" s="360"/>
      <c r="I158" s="360"/>
      <c r="J158" s="360">
        <f>SUM(D158:I158)</f>
        <v>4319</v>
      </c>
    </row>
    <row r="159" spans="1:10" s="29" customFormat="1">
      <c r="A159" s="156" t="s">
        <v>110</v>
      </c>
      <c r="B159" s="154"/>
      <c r="C159" s="349">
        <v>3588</v>
      </c>
      <c r="D159" s="360">
        <v>890</v>
      </c>
      <c r="E159" s="360">
        <v>1939</v>
      </c>
      <c r="F159" s="360">
        <v>276</v>
      </c>
      <c r="G159" s="360">
        <v>482</v>
      </c>
      <c r="H159" s="360">
        <v>1</v>
      </c>
      <c r="I159" s="360">
        <v>0</v>
      </c>
      <c r="J159" s="360">
        <f t="shared" si="29"/>
        <v>3588</v>
      </c>
    </row>
    <row r="160" spans="1:10" s="151" customFormat="1">
      <c r="A160" s="145" t="s">
        <v>111</v>
      </c>
      <c r="B160" s="146"/>
      <c r="C160" s="147">
        <f>C153-C157-C159-C156+C152-C158-C155</f>
        <v>9797</v>
      </c>
      <c r="D160" s="147">
        <f>(D153-D157-D155-D156-D159-D158)-2423</f>
        <v>-0.20129999999971915</v>
      </c>
      <c r="E160" s="147">
        <f>(E153-E157-E155-E156-E159-E158)-5304</f>
        <v>9.8900000000867294E-2</v>
      </c>
      <c r="F160" s="147">
        <f>(F153-F157-F155-F156-F159-F158)-0.4</f>
        <v>734.91460000000018</v>
      </c>
      <c r="G160" s="147">
        <f>(G153-G157-G155-G156-G159-G158)-901</f>
        <v>433.78780000000006</v>
      </c>
      <c r="H160" s="147">
        <f t="shared" ref="H160" si="32">H153-H157-H155-H156-H159-H158</f>
        <v>0</v>
      </c>
      <c r="I160" s="147">
        <f>(I153-I157-I155-I156-I159-I158)+2423+901+5304</f>
        <v>8628</v>
      </c>
      <c r="J160" s="148">
        <f>SUM(D160:I160)</f>
        <v>9796.6000000000022</v>
      </c>
    </row>
    <row r="161" spans="1:17" s="29" customFormat="1" ht="15.6" thickBot="1">
      <c r="A161" s="153" t="s">
        <v>112</v>
      </c>
      <c r="B161" s="154"/>
      <c r="C161" s="79">
        <f t="shared" ref="C161:I161" si="33">SUM(C155:C160)</f>
        <v>22470</v>
      </c>
      <c r="D161" s="357">
        <f t="shared" si="33"/>
        <v>3141.7987000000003</v>
      </c>
      <c r="E161" s="357">
        <f t="shared" si="33"/>
        <v>6844.0989000000009</v>
      </c>
      <c r="F161" s="357">
        <f t="shared" si="33"/>
        <v>1708.9146000000001</v>
      </c>
      <c r="G161" s="357">
        <f t="shared" si="33"/>
        <v>2143.7878000000001</v>
      </c>
      <c r="H161" s="357">
        <f t="shared" si="33"/>
        <v>3</v>
      </c>
      <c r="I161" s="357">
        <f t="shared" si="33"/>
        <v>8628</v>
      </c>
      <c r="J161" s="17">
        <f t="shared" si="29"/>
        <v>22469.599999999999</v>
      </c>
    </row>
    <row r="162" spans="1:17" ht="16.350000000000001" thickTop="1">
      <c r="A162" s="25" t="s">
        <v>144</v>
      </c>
      <c r="B162" s="26"/>
      <c r="C162" s="26"/>
      <c r="D162" s="226" t="s">
        <v>0</v>
      </c>
      <c r="E162" s="226" t="s">
        <v>1</v>
      </c>
      <c r="F162" s="226" t="s">
        <v>2</v>
      </c>
      <c r="G162" s="226" t="s">
        <v>3</v>
      </c>
      <c r="H162" s="226" t="s">
        <v>4</v>
      </c>
      <c r="I162" s="226" t="s">
        <v>34</v>
      </c>
      <c r="J162" s="226" t="s">
        <v>5</v>
      </c>
    </row>
    <row r="163" spans="1:17">
      <c r="A163" s="356" t="s">
        <v>89</v>
      </c>
      <c r="B163" s="357">
        <v>18427</v>
      </c>
      <c r="C163" s="357">
        <f>B167</f>
        <v>18427</v>
      </c>
      <c r="D163" s="27"/>
      <c r="E163" s="27"/>
      <c r="F163" s="27"/>
      <c r="G163" s="27"/>
      <c r="H163" s="27"/>
      <c r="I163" s="27"/>
      <c r="J163" s="27"/>
    </row>
    <row r="164" spans="1:17" s="151" customFormat="1">
      <c r="A164" s="28" t="s">
        <v>90</v>
      </c>
      <c r="B164" s="16">
        <v>0</v>
      </c>
      <c r="C164" s="357">
        <v>0</v>
      </c>
      <c r="D164" s="27"/>
      <c r="E164" s="27"/>
      <c r="F164" s="27"/>
      <c r="G164" s="27"/>
      <c r="H164" s="27"/>
      <c r="I164" s="27"/>
      <c r="J164" s="27"/>
    </row>
    <row r="165" spans="1:17">
      <c r="A165" s="28" t="s">
        <v>91</v>
      </c>
      <c r="B165" s="357">
        <v>0</v>
      </c>
      <c r="C165" s="357">
        <v>0</v>
      </c>
      <c r="D165" s="27"/>
      <c r="E165" s="27"/>
      <c r="F165" s="27"/>
      <c r="G165" s="27"/>
      <c r="H165" s="27"/>
      <c r="I165" s="27"/>
      <c r="J165" s="27"/>
    </row>
    <row r="166" spans="1:17">
      <c r="A166" s="28" t="s">
        <v>92</v>
      </c>
      <c r="B166" s="357">
        <v>0</v>
      </c>
      <c r="C166" s="357">
        <f>-C163*0</f>
        <v>0</v>
      </c>
      <c r="D166" s="27"/>
      <c r="E166" s="27"/>
      <c r="F166" s="27"/>
      <c r="G166" s="27"/>
      <c r="H166" s="27"/>
      <c r="I166" s="27"/>
      <c r="J166" s="27"/>
    </row>
    <row r="167" spans="1:17">
      <c r="A167" s="356" t="s">
        <v>93</v>
      </c>
      <c r="B167" s="357">
        <f>SUM(B163:B166)</f>
        <v>18427</v>
      </c>
      <c r="C167" s="357">
        <f>SUM(C163:C166)</f>
        <v>18427</v>
      </c>
      <c r="D167" s="27"/>
      <c r="E167" s="27"/>
      <c r="F167" s="27"/>
      <c r="G167" s="27"/>
      <c r="H167" s="27"/>
      <c r="I167" s="27"/>
      <c r="J167" s="27"/>
    </row>
    <row r="168" spans="1:17">
      <c r="A168" s="356" t="s">
        <v>94</v>
      </c>
      <c r="B168" s="357">
        <v>0</v>
      </c>
      <c r="C168" s="357">
        <v>0</v>
      </c>
      <c r="D168" s="357">
        <v>0</v>
      </c>
      <c r="E168" s="357">
        <v>0</v>
      </c>
      <c r="F168" s="357">
        <v>0</v>
      </c>
      <c r="G168" s="357">
        <v>0</v>
      </c>
      <c r="H168" s="357">
        <v>0</v>
      </c>
      <c r="I168" s="357">
        <v>0</v>
      </c>
      <c r="J168" s="357">
        <f>SUM(D168:I168)</f>
        <v>0</v>
      </c>
    </row>
    <row r="169" spans="1:17">
      <c r="A169" s="3" t="s">
        <v>95</v>
      </c>
      <c r="B169" s="357">
        <f>B167-B168</f>
        <v>18427</v>
      </c>
      <c r="C169" s="357">
        <f>C167-C168</f>
        <v>18427</v>
      </c>
      <c r="D169" s="27"/>
      <c r="E169" s="27"/>
      <c r="F169" s="27"/>
      <c r="G169" s="27"/>
      <c r="H169" s="27"/>
      <c r="I169" s="27"/>
      <c r="J169" s="27"/>
      <c r="K169" s="381"/>
      <c r="L169" s="381"/>
      <c r="M169" s="381"/>
      <c r="N169" s="381"/>
      <c r="O169" s="381"/>
      <c r="P169" s="381"/>
      <c r="Q169" s="381"/>
    </row>
    <row r="170" spans="1:17" s="151" customFormat="1" hidden="1">
      <c r="A170" s="356" t="s">
        <v>145</v>
      </c>
      <c r="B170" s="357">
        <v>0</v>
      </c>
      <c r="C170" s="357">
        <v>0</v>
      </c>
      <c r="D170" s="158">
        <v>0</v>
      </c>
      <c r="E170" s="158">
        <v>0</v>
      </c>
      <c r="F170" s="158">
        <v>0</v>
      </c>
      <c r="G170" s="158">
        <v>0</v>
      </c>
      <c r="H170" s="158">
        <v>0</v>
      </c>
      <c r="I170" s="158">
        <f>+C170</f>
        <v>0</v>
      </c>
      <c r="J170" s="357">
        <f>SUM(D170:I170)</f>
        <v>0</v>
      </c>
      <c r="K170" s="381"/>
      <c r="L170" s="381"/>
      <c r="M170" s="381"/>
      <c r="N170" s="381"/>
      <c r="O170" s="381"/>
      <c r="P170" s="381"/>
      <c r="Q170" s="381"/>
    </row>
    <row r="171" spans="1:17">
      <c r="A171" s="356" t="s">
        <v>117</v>
      </c>
      <c r="B171" s="357">
        <f>+B169-B172</f>
        <v>18041</v>
      </c>
      <c r="C171" s="357">
        <f>+C169-C170-C172</f>
        <v>17612</v>
      </c>
      <c r="D171" s="357">
        <f>(+'Facilities Plan'!E20)/1000</f>
        <v>3000</v>
      </c>
      <c r="E171" s="309">
        <f>((+'Facilities Plan'!E21)/1000)</f>
        <v>10328</v>
      </c>
      <c r="F171" s="357">
        <f>(+'Facilities Plan'!E22)/1000</f>
        <v>3981</v>
      </c>
      <c r="G171" s="357">
        <f>(+'Facilities Plan'!E23)/1000</f>
        <v>303</v>
      </c>
      <c r="H171" s="357">
        <v>0</v>
      </c>
      <c r="I171" s="357">
        <v>0</v>
      </c>
      <c r="J171" s="357">
        <f t="shared" ref="J171:J182" si="34">SUM(D171:I171)</f>
        <v>17612</v>
      </c>
      <c r="K171" s="381"/>
      <c r="L171" s="381"/>
      <c r="M171" s="381"/>
      <c r="N171" s="381"/>
      <c r="O171" s="381"/>
      <c r="P171" s="381"/>
      <c r="Q171" s="381"/>
    </row>
    <row r="172" spans="1:17" s="151" customFormat="1">
      <c r="A172" s="356" t="s">
        <v>146</v>
      </c>
      <c r="B172" s="357">
        <v>386</v>
      </c>
      <c r="C172" s="357">
        <f>SUM(D172:I172)</f>
        <v>814.99999999999989</v>
      </c>
      <c r="D172" s="357">
        <f>(+'Facilities Plan'!F20)/1000</f>
        <v>138.82599999999999</v>
      </c>
      <c r="E172" s="309">
        <f>(+'Facilities Plan'!F21)/1000</f>
        <v>477.93099999999998</v>
      </c>
      <c r="F172" s="357">
        <f>(+'Facilities Plan'!F22)/1000</f>
        <v>184.22200000000001</v>
      </c>
      <c r="G172" s="357">
        <f>(+'Facilities Plan'!F23)/1000</f>
        <v>14.021000000000001</v>
      </c>
      <c r="H172" s="357">
        <v>0</v>
      </c>
      <c r="I172" s="357">
        <v>0</v>
      </c>
      <c r="J172" s="357">
        <f t="shared" si="34"/>
        <v>814.99999999999989</v>
      </c>
      <c r="K172" s="381"/>
      <c r="L172" s="381"/>
      <c r="M172" s="381"/>
      <c r="N172" s="381"/>
      <c r="O172" s="381"/>
      <c r="P172" s="381"/>
      <c r="Q172" s="381"/>
    </row>
    <row r="173" spans="1:17" s="354" customFormat="1">
      <c r="A173" s="275" t="s">
        <v>103</v>
      </c>
      <c r="B173" s="357">
        <v>0</v>
      </c>
      <c r="C173" s="357">
        <v>0</v>
      </c>
      <c r="D173" s="357">
        <v>0</v>
      </c>
      <c r="E173" s="357">
        <v>0</v>
      </c>
      <c r="F173" s="357">
        <v>0</v>
      </c>
      <c r="G173" s="357">
        <v>0</v>
      </c>
      <c r="H173" s="357">
        <v>0</v>
      </c>
      <c r="I173" s="357">
        <v>0</v>
      </c>
      <c r="J173" s="357">
        <f>SUM(D173:I173)</f>
        <v>0</v>
      </c>
      <c r="K173" s="381"/>
      <c r="L173" s="381"/>
      <c r="M173" s="381"/>
      <c r="N173" s="381"/>
      <c r="O173" s="381"/>
      <c r="P173" s="381"/>
      <c r="Q173" s="381"/>
    </row>
    <row r="174" spans="1:17">
      <c r="A174" s="356" t="s">
        <v>104</v>
      </c>
      <c r="B174" s="357"/>
      <c r="C174" s="17">
        <f>+C170+C171+C172+C173</f>
        <v>18427</v>
      </c>
      <c r="D174" s="357">
        <f>+D171+D172</f>
        <v>3138.826</v>
      </c>
      <c r="E174" s="357">
        <f>+E171+E172</f>
        <v>10805.931</v>
      </c>
      <c r="F174" s="357">
        <f>+F171+F172</f>
        <v>4165.2219999999998</v>
      </c>
      <c r="G174" s="357">
        <f>+G171+G172</f>
        <v>317.02100000000002</v>
      </c>
      <c r="H174" s="357">
        <v>0</v>
      </c>
      <c r="I174" s="357">
        <f>+I170+I171+I172</f>
        <v>0</v>
      </c>
      <c r="J174" s="223">
        <f>J171+J168+J172+J170</f>
        <v>18427</v>
      </c>
      <c r="K174" s="381"/>
      <c r="L174" s="381"/>
      <c r="M174" s="381"/>
      <c r="N174" s="381"/>
      <c r="O174" s="381"/>
      <c r="P174" s="381"/>
      <c r="Q174" s="381"/>
    </row>
    <row r="175" spans="1:17">
      <c r="A175" s="144" t="s">
        <v>105</v>
      </c>
      <c r="B175" s="143"/>
      <c r="C175" s="143"/>
      <c r="D175" s="357">
        <v>0</v>
      </c>
      <c r="E175" s="357">
        <v>0</v>
      </c>
      <c r="F175" s="357">
        <v>0</v>
      </c>
      <c r="G175" s="357">
        <v>0</v>
      </c>
      <c r="H175" s="357">
        <v>0</v>
      </c>
      <c r="I175" s="357">
        <v>0</v>
      </c>
      <c r="J175" s="351">
        <f t="shared" si="34"/>
        <v>0</v>
      </c>
      <c r="K175" s="381"/>
      <c r="L175" s="381"/>
      <c r="M175" s="381"/>
      <c r="N175" s="381"/>
      <c r="O175" s="381"/>
      <c r="P175" s="381"/>
      <c r="Q175" s="381"/>
    </row>
    <row r="176" spans="1:17" s="381" customFormat="1">
      <c r="A176" s="156" t="s">
        <v>1344</v>
      </c>
      <c r="B176" s="154"/>
      <c r="C176" s="349">
        <v>1514</v>
      </c>
      <c r="D176" s="360">
        <v>0</v>
      </c>
      <c r="E176" s="360">
        <v>1514</v>
      </c>
      <c r="F176" s="360">
        <v>0</v>
      </c>
      <c r="G176" s="360">
        <v>0</v>
      </c>
      <c r="H176" s="360">
        <v>0</v>
      </c>
      <c r="I176" s="360">
        <v>0</v>
      </c>
      <c r="J176" s="239">
        <f t="shared" si="34"/>
        <v>1514</v>
      </c>
      <c r="K176" s="29"/>
      <c r="L176" s="29"/>
      <c r="M176" s="29"/>
      <c r="N176" s="29"/>
      <c r="O176" s="29"/>
      <c r="P176" s="29"/>
      <c r="Q176" s="29"/>
    </row>
    <row r="177" spans="1:17" s="381" customFormat="1">
      <c r="A177" s="156" t="s">
        <v>1337</v>
      </c>
      <c r="B177" s="154"/>
      <c r="C177" s="349">
        <f>202+1515</f>
        <v>1717</v>
      </c>
      <c r="D177" s="360">
        <v>3139</v>
      </c>
      <c r="E177" s="360">
        <v>2274</v>
      </c>
      <c r="F177" s="360">
        <v>4165</v>
      </c>
      <c r="G177" s="360">
        <v>317</v>
      </c>
      <c r="H177" s="360"/>
      <c r="I177" s="360">
        <v>-8178</v>
      </c>
      <c r="J177" s="239">
        <f>SUM(D177:I177)</f>
        <v>1717</v>
      </c>
      <c r="K177" s="29"/>
      <c r="L177" s="29"/>
      <c r="M177" s="29"/>
      <c r="N177" s="29"/>
      <c r="O177" s="29"/>
      <c r="P177" s="29"/>
      <c r="Q177" s="29"/>
    </row>
    <row r="178" spans="1:17" s="381" customFormat="1">
      <c r="A178" s="156" t="s">
        <v>106</v>
      </c>
      <c r="B178" s="154"/>
      <c r="C178" s="349">
        <v>1060</v>
      </c>
      <c r="D178" s="360">
        <v>0</v>
      </c>
      <c r="E178" s="360">
        <v>0</v>
      </c>
      <c r="F178" s="360">
        <v>0</v>
      </c>
      <c r="G178" s="360">
        <v>0</v>
      </c>
      <c r="H178" s="360">
        <v>0</v>
      </c>
      <c r="I178" s="360">
        <v>1060</v>
      </c>
      <c r="J178" s="239">
        <f t="shared" si="34"/>
        <v>1060</v>
      </c>
      <c r="K178" s="29"/>
      <c r="L178" s="29"/>
      <c r="M178" s="29"/>
      <c r="N178" s="29"/>
      <c r="O178" s="29"/>
      <c r="P178" s="29"/>
      <c r="Q178" s="29"/>
    </row>
    <row r="179" spans="1:17" s="29" customFormat="1">
      <c r="A179" s="156" t="s">
        <v>123</v>
      </c>
      <c r="B179" s="154"/>
      <c r="C179" s="349">
        <f>7118-3230</f>
        <v>3888</v>
      </c>
      <c r="D179" s="360">
        <v>0</v>
      </c>
      <c r="E179" s="360">
        <v>0</v>
      </c>
      <c r="F179" s="360">
        <v>0</v>
      </c>
      <c r="G179" s="360">
        <v>0</v>
      </c>
      <c r="H179" s="360">
        <v>0</v>
      </c>
      <c r="I179" s="360">
        <v>3888</v>
      </c>
      <c r="J179" s="239">
        <f t="shared" si="34"/>
        <v>3888</v>
      </c>
    </row>
    <row r="180" spans="1:17" s="29" customFormat="1">
      <c r="A180" s="156" t="s">
        <v>147</v>
      </c>
      <c r="B180" s="154"/>
      <c r="C180" s="349"/>
      <c r="D180" s="360">
        <v>0</v>
      </c>
      <c r="E180" s="360">
        <v>0</v>
      </c>
      <c r="F180" s="360">
        <v>0</v>
      </c>
      <c r="G180" s="360">
        <v>0</v>
      </c>
      <c r="H180" s="360">
        <v>0</v>
      </c>
      <c r="I180" s="360">
        <v>3230</v>
      </c>
      <c r="J180" s="349">
        <f t="shared" si="34"/>
        <v>3230</v>
      </c>
    </row>
    <row r="181" spans="1:17" s="29" customFormat="1">
      <c r="A181" s="156" t="s">
        <v>148</v>
      </c>
      <c r="B181" s="154"/>
      <c r="C181" s="349"/>
      <c r="D181" s="360">
        <v>0</v>
      </c>
      <c r="E181" s="360">
        <v>0</v>
      </c>
      <c r="F181" s="360">
        <v>0</v>
      </c>
      <c r="G181" s="360">
        <v>0</v>
      </c>
      <c r="H181" s="360">
        <v>0</v>
      </c>
      <c r="I181" s="360">
        <v>-3230</v>
      </c>
      <c r="J181" s="349">
        <f t="shared" si="34"/>
        <v>-3230</v>
      </c>
    </row>
    <row r="182" spans="1:17" s="29" customFormat="1">
      <c r="A182" s="156" t="s">
        <v>110</v>
      </c>
      <c r="B182" s="154"/>
      <c r="C182" s="349">
        <v>3230</v>
      </c>
      <c r="D182" s="362">
        <v>0</v>
      </c>
      <c r="E182" s="362">
        <v>0</v>
      </c>
      <c r="F182" s="362">
        <v>0</v>
      </c>
      <c r="G182" s="362">
        <v>0</v>
      </c>
      <c r="H182" s="362">
        <v>0</v>
      </c>
      <c r="I182" s="362">
        <v>3230</v>
      </c>
      <c r="J182" s="349">
        <f t="shared" si="34"/>
        <v>3230</v>
      </c>
    </row>
    <row r="183" spans="1:17" s="151" customFormat="1">
      <c r="A183" s="145" t="s">
        <v>111</v>
      </c>
      <c r="B183" s="146"/>
      <c r="C183" s="147">
        <f>C169-C179-C182+C181+C180-C178-C177+C173-C176</f>
        <v>7018</v>
      </c>
      <c r="D183" s="270">
        <f>D174-D179-D178-D182+D181-D180-D177-D176</f>
        <v>-0.17399999999997817</v>
      </c>
      <c r="E183" s="270">
        <f>E174-E179-E178-E182+E181-E180-E177-E176</f>
        <v>7017.9310000000005</v>
      </c>
      <c r="F183" s="270">
        <f>F174-F179-F178-F182+F181-F180-F177-F176</f>
        <v>0.22199999999975262</v>
      </c>
      <c r="G183" s="270">
        <f>G174-G179-G178-G182+G181-G180-G177-G176</f>
        <v>2.1000000000015007E-2</v>
      </c>
      <c r="H183" s="270">
        <f>H174-H179-H178-H182+H181-H180-H177-H176</f>
        <v>0</v>
      </c>
      <c r="I183" s="270">
        <v>0</v>
      </c>
      <c r="J183" s="270">
        <f>SUM(D183:I183)</f>
        <v>7018</v>
      </c>
      <c r="K183" s="381"/>
      <c r="L183" s="381"/>
      <c r="M183" s="381"/>
      <c r="N183" s="381"/>
      <c r="O183" s="381"/>
      <c r="P183" s="381"/>
      <c r="Q183" s="381"/>
    </row>
    <row r="184" spans="1:17" s="29" customFormat="1" ht="15.6" thickBot="1">
      <c r="A184" s="153" t="s">
        <v>112</v>
      </c>
      <c r="B184" s="154"/>
      <c r="C184" s="414">
        <f t="shared" ref="C184:I184" si="35">SUM(C176:C183)</f>
        <v>18427</v>
      </c>
      <c r="D184" s="414">
        <f t="shared" si="35"/>
        <v>3138.826</v>
      </c>
      <c r="E184" s="414">
        <f t="shared" si="35"/>
        <v>10805.931</v>
      </c>
      <c r="F184" s="414">
        <f t="shared" si="35"/>
        <v>4165.2219999999998</v>
      </c>
      <c r="G184" s="414">
        <f t="shared" si="35"/>
        <v>317.02100000000002</v>
      </c>
      <c r="H184" s="414">
        <f t="shared" si="35"/>
        <v>0</v>
      </c>
      <c r="I184" s="414">
        <f t="shared" si="35"/>
        <v>0</v>
      </c>
      <c r="J184" s="414">
        <f>SUM(D184:I184)</f>
        <v>18427</v>
      </c>
    </row>
    <row r="185" spans="1:17" ht="16.350000000000001" thickTop="1">
      <c r="A185" s="25" t="s">
        <v>149</v>
      </c>
      <c r="B185" s="26"/>
      <c r="C185" s="295"/>
      <c r="D185" s="296" t="s">
        <v>0</v>
      </c>
      <c r="E185" s="296" t="s">
        <v>1</v>
      </c>
      <c r="F185" s="296" t="s">
        <v>2</v>
      </c>
      <c r="G185" s="296" t="s">
        <v>3</v>
      </c>
      <c r="H185" s="296" t="s">
        <v>4</v>
      </c>
      <c r="I185" s="296" t="s">
        <v>34</v>
      </c>
      <c r="J185" s="296" t="s">
        <v>5</v>
      </c>
      <c r="K185" s="381"/>
      <c r="L185" s="381"/>
      <c r="M185" s="381"/>
      <c r="N185" s="381"/>
      <c r="O185" s="381"/>
      <c r="P185" s="381"/>
      <c r="Q185" s="381"/>
    </row>
    <row r="186" spans="1:17">
      <c r="A186" s="356" t="s">
        <v>89</v>
      </c>
      <c r="B186" s="357">
        <v>3000</v>
      </c>
      <c r="C186" s="357">
        <v>3000</v>
      </c>
      <c r="D186" s="27"/>
      <c r="E186" s="27"/>
      <c r="F186" s="27"/>
      <c r="G186" s="27"/>
      <c r="H186" s="27"/>
      <c r="I186" s="27"/>
      <c r="J186" s="27"/>
      <c r="K186" s="381"/>
      <c r="L186" s="381"/>
      <c r="M186" s="381"/>
      <c r="N186" s="381"/>
      <c r="O186" s="381"/>
      <c r="P186" s="381"/>
      <c r="Q186" s="381"/>
    </row>
    <row r="187" spans="1:17" s="151" customFormat="1">
      <c r="A187" s="28" t="s">
        <v>90</v>
      </c>
      <c r="B187" s="16">
        <v>0</v>
      </c>
      <c r="C187" s="357">
        <v>0</v>
      </c>
      <c r="D187" s="27"/>
      <c r="E187" s="27"/>
      <c r="F187" s="27"/>
      <c r="G187" s="27"/>
      <c r="H187" s="27"/>
      <c r="I187" s="27"/>
      <c r="J187" s="27"/>
      <c r="K187" s="381"/>
      <c r="L187" s="381"/>
      <c r="M187" s="381"/>
      <c r="N187" s="381"/>
    </row>
    <row r="188" spans="1:17">
      <c r="A188" s="28" t="s">
        <v>91</v>
      </c>
      <c r="B188" s="357">
        <v>0</v>
      </c>
      <c r="C188" s="357">
        <v>1000</v>
      </c>
      <c r="D188" s="27"/>
      <c r="E188" s="27"/>
      <c r="F188" s="27"/>
      <c r="G188" s="27"/>
      <c r="H188" s="27"/>
      <c r="I188" s="27"/>
      <c r="J188" s="27"/>
      <c r="K188" s="381"/>
      <c r="L188" s="381"/>
      <c r="M188" s="381"/>
      <c r="N188" s="381"/>
    </row>
    <row r="189" spans="1:17">
      <c r="A189" s="28" t="s">
        <v>92</v>
      </c>
      <c r="B189" s="357">
        <v>0</v>
      </c>
      <c r="C189" s="357">
        <f>-C186*0</f>
        <v>0</v>
      </c>
      <c r="D189" s="27"/>
      <c r="E189" s="27"/>
      <c r="F189" s="27"/>
      <c r="G189" s="27"/>
      <c r="H189" s="27"/>
      <c r="I189" s="27"/>
      <c r="J189" s="27"/>
      <c r="K189" s="381"/>
      <c r="L189" s="381"/>
      <c r="M189" s="381"/>
      <c r="N189" s="381"/>
    </row>
    <row r="190" spans="1:17">
      <c r="A190" s="356" t="s">
        <v>93</v>
      </c>
      <c r="B190" s="357">
        <f>SUM(B186:B189)</f>
        <v>3000</v>
      </c>
      <c r="C190" s="357">
        <f>SUM(C186:C189)</f>
        <v>4000</v>
      </c>
      <c r="D190" s="27"/>
      <c r="E190" s="27"/>
      <c r="F190" s="27"/>
      <c r="G190" s="27"/>
      <c r="H190" s="27"/>
      <c r="I190" s="27"/>
      <c r="J190" s="27"/>
      <c r="K190" s="381"/>
      <c r="L190" s="381"/>
      <c r="M190" s="381"/>
      <c r="N190" s="381"/>
    </row>
    <row r="191" spans="1:17">
      <c r="A191" s="356" t="s">
        <v>94</v>
      </c>
      <c r="B191" s="309">
        <f>B190</f>
        <v>3000</v>
      </c>
      <c r="C191" s="309">
        <f>C190</f>
        <v>4000</v>
      </c>
      <c r="D191" s="357">
        <v>0</v>
      </c>
      <c r="E191" s="309">
        <f>(+C191)</f>
        <v>4000</v>
      </c>
      <c r="F191" s="357">
        <v>0</v>
      </c>
      <c r="G191" s="357">
        <v>0</v>
      </c>
      <c r="H191" s="357">
        <v>0</v>
      </c>
      <c r="I191" s="357">
        <v>0</v>
      </c>
      <c r="J191" s="309">
        <f>SUM(D191:I191)</f>
        <v>4000</v>
      </c>
      <c r="K191" s="381"/>
      <c r="L191" s="381"/>
      <c r="M191" s="381"/>
      <c r="N191" s="381"/>
    </row>
    <row r="192" spans="1:17">
      <c r="A192" s="3" t="s">
        <v>95</v>
      </c>
      <c r="B192" s="309">
        <v>0</v>
      </c>
      <c r="C192" s="309">
        <f>C190-C191</f>
        <v>0</v>
      </c>
      <c r="D192" s="27"/>
      <c r="E192" s="27"/>
      <c r="F192" s="27"/>
      <c r="G192" s="27"/>
      <c r="H192" s="27"/>
      <c r="I192" s="27"/>
      <c r="J192" s="27"/>
      <c r="K192" s="381"/>
      <c r="L192" s="381"/>
      <c r="M192" s="381"/>
      <c r="N192" s="381"/>
    </row>
    <row r="193" spans="1:15">
      <c r="A193" s="356" t="s">
        <v>117</v>
      </c>
      <c r="B193" s="357"/>
      <c r="C193" s="357"/>
      <c r="D193" s="357">
        <v>0</v>
      </c>
      <c r="E193" s="309">
        <v>0</v>
      </c>
      <c r="F193" s="357">
        <v>0</v>
      </c>
      <c r="G193" s="357">
        <v>0</v>
      </c>
      <c r="H193" s="357">
        <v>0</v>
      </c>
      <c r="I193" s="357">
        <v>0</v>
      </c>
      <c r="J193" s="309">
        <f>SUM(D193:I193)</f>
        <v>0</v>
      </c>
      <c r="K193" s="381"/>
      <c r="L193" s="381"/>
      <c r="M193" s="381"/>
      <c r="N193" s="381"/>
    </row>
    <row r="194" spans="1:15" s="354" customFormat="1">
      <c r="A194" s="275" t="s">
        <v>103</v>
      </c>
      <c r="B194" s="357">
        <v>0</v>
      </c>
      <c r="C194" s="357">
        <f t="shared" ref="C194:J194" si="36">C107</f>
        <v>0</v>
      </c>
      <c r="D194" s="357">
        <f t="shared" si="36"/>
        <v>0</v>
      </c>
      <c r="E194" s="357">
        <f t="shared" si="36"/>
        <v>0</v>
      </c>
      <c r="F194" s="357">
        <f t="shared" si="36"/>
        <v>0</v>
      </c>
      <c r="G194" s="357">
        <f t="shared" si="36"/>
        <v>0</v>
      </c>
      <c r="H194" s="357">
        <f t="shared" si="36"/>
        <v>0</v>
      </c>
      <c r="I194" s="357">
        <f t="shared" si="36"/>
        <v>0</v>
      </c>
      <c r="J194" s="357">
        <f t="shared" si="36"/>
        <v>0</v>
      </c>
      <c r="K194" s="381"/>
      <c r="L194" s="381"/>
      <c r="M194" s="381"/>
      <c r="N194" s="228">
        <f>N192-N193</f>
        <v>0</v>
      </c>
    </row>
    <row r="195" spans="1:15">
      <c r="A195" s="356" t="s">
        <v>104</v>
      </c>
      <c r="B195" s="357"/>
      <c r="C195" s="357"/>
      <c r="D195" s="223">
        <f>D193+D191</f>
        <v>0</v>
      </c>
      <c r="E195" s="223">
        <f t="shared" ref="E195:J195" si="37">E193+E191</f>
        <v>4000</v>
      </c>
      <c r="F195" s="223">
        <f t="shared" si="37"/>
        <v>0</v>
      </c>
      <c r="G195" s="223">
        <f t="shared" si="37"/>
        <v>0</v>
      </c>
      <c r="H195" s="223">
        <f t="shared" si="37"/>
        <v>0</v>
      </c>
      <c r="I195" s="223">
        <f t="shared" si="37"/>
        <v>0</v>
      </c>
      <c r="J195" s="223">
        <f t="shared" si="37"/>
        <v>4000</v>
      </c>
      <c r="K195" s="381"/>
      <c r="L195" s="381"/>
      <c r="M195" s="381"/>
      <c r="N195" s="381"/>
    </row>
    <row r="196" spans="1:15">
      <c r="A196" s="144" t="s">
        <v>105</v>
      </c>
      <c r="B196" s="143"/>
      <c r="C196" s="143"/>
      <c r="D196" s="351">
        <v>0</v>
      </c>
      <c r="E196" s="351">
        <v>1</v>
      </c>
      <c r="F196" s="351">
        <v>0</v>
      </c>
      <c r="G196" s="351">
        <v>0</v>
      </c>
      <c r="H196" s="351">
        <v>0</v>
      </c>
      <c r="I196" s="351">
        <v>0</v>
      </c>
      <c r="J196" s="351">
        <f t="shared" ref="J196:J202" si="38">SUM(D196:I196)</f>
        <v>1</v>
      </c>
      <c r="K196" s="381"/>
      <c r="L196" s="381"/>
      <c r="M196" s="381"/>
      <c r="N196" s="381"/>
    </row>
    <row r="197" spans="1:15" s="381" customFormat="1">
      <c r="A197" s="156" t="s">
        <v>1344</v>
      </c>
      <c r="B197" s="154"/>
      <c r="C197" s="349">
        <v>246</v>
      </c>
      <c r="D197" s="360">
        <v>0</v>
      </c>
      <c r="E197" s="360">
        <v>246</v>
      </c>
      <c r="F197" s="360">
        <v>0</v>
      </c>
      <c r="G197" s="360">
        <v>0</v>
      </c>
      <c r="H197" s="360">
        <v>0</v>
      </c>
      <c r="I197" s="360">
        <v>0</v>
      </c>
      <c r="J197" s="239">
        <f t="shared" si="38"/>
        <v>246</v>
      </c>
    </row>
    <row r="198" spans="1:15" s="381" customFormat="1">
      <c r="A198" s="156" t="s">
        <v>1337</v>
      </c>
      <c r="B198" s="154"/>
      <c r="C198" s="349">
        <f>33+247</f>
        <v>280</v>
      </c>
      <c r="D198" s="360">
        <v>0</v>
      </c>
      <c r="E198" s="360">
        <v>280</v>
      </c>
      <c r="F198" s="360">
        <v>0</v>
      </c>
      <c r="G198" s="360">
        <v>0</v>
      </c>
      <c r="H198" s="360">
        <v>0</v>
      </c>
      <c r="I198" s="360">
        <v>0</v>
      </c>
      <c r="J198" s="239">
        <f t="shared" si="38"/>
        <v>280</v>
      </c>
    </row>
    <row r="199" spans="1:15" s="29" customFormat="1">
      <c r="A199" s="156" t="s">
        <v>106</v>
      </c>
      <c r="B199" s="154"/>
      <c r="C199" s="349">
        <v>172</v>
      </c>
      <c r="D199" s="360">
        <v>0</v>
      </c>
      <c r="E199" s="360">
        <v>172</v>
      </c>
      <c r="F199" s="360">
        <v>0</v>
      </c>
      <c r="G199" s="360">
        <v>0</v>
      </c>
      <c r="H199" s="360">
        <v>0</v>
      </c>
      <c r="I199" s="360">
        <v>0</v>
      </c>
      <c r="J199" s="239">
        <f t="shared" si="38"/>
        <v>172</v>
      </c>
    </row>
    <row r="200" spans="1:15" s="29" customFormat="1">
      <c r="A200" s="156" t="s">
        <v>123</v>
      </c>
      <c r="B200" s="154"/>
      <c r="C200" s="349">
        <f>1159-525</f>
        <v>634</v>
      </c>
      <c r="D200" s="364">
        <v>0</v>
      </c>
      <c r="E200" s="364">
        <v>634</v>
      </c>
      <c r="F200" s="364">
        <v>0</v>
      </c>
      <c r="G200" s="364">
        <v>0</v>
      </c>
      <c r="H200" s="364">
        <v>0</v>
      </c>
      <c r="I200" s="364">
        <v>0</v>
      </c>
      <c r="J200" s="239">
        <f t="shared" si="38"/>
        <v>634</v>
      </c>
    </row>
    <row r="201" spans="1:15" s="29" customFormat="1">
      <c r="A201" s="156" t="s">
        <v>110</v>
      </c>
      <c r="B201" s="154"/>
      <c r="C201" s="349">
        <v>525</v>
      </c>
      <c r="D201" s="364">
        <v>0</v>
      </c>
      <c r="E201" s="364">
        <v>525</v>
      </c>
      <c r="F201" s="364">
        <v>0</v>
      </c>
      <c r="G201" s="364">
        <v>0</v>
      </c>
      <c r="H201" s="364">
        <v>0</v>
      </c>
      <c r="I201" s="364">
        <v>0</v>
      </c>
      <c r="J201" s="349">
        <f t="shared" si="38"/>
        <v>525</v>
      </c>
    </row>
    <row r="202" spans="1:15" s="151" customFormat="1">
      <c r="A202" s="145" t="s">
        <v>111</v>
      </c>
      <c r="B202" s="146"/>
      <c r="C202" s="147">
        <f>C190-C199-C201-C198+C194-C200-C197</f>
        <v>2143</v>
      </c>
      <c r="D202" s="147">
        <f>D192-D199-D198-D201-D200-D197</f>
        <v>0</v>
      </c>
      <c r="E202" s="147">
        <f>E195-E199-E201-E198-E200-E197</f>
        <v>2143</v>
      </c>
      <c r="F202" s="147">
        <f>F195-F199-F198-F201-F200-F197</f>
        <v>0</v>
      </c>
      <c r="G202" s="147">
        <f>G195-G199-G198-G201-G200-G197</f>
        <v>0</v>
      </c>
      <c r="H202" s="147">
        <f>H195-H199-H198-H201-H200-H197</f>
        <v>0</v>
      </c>
      <c r="I202" s="147">
        <f>I195-I199-I198-I201-I200-I197</f>
        <v>0</v>
      </c>
      <c r="J202" s="147">
        <f t="shared" si="38"/>
        <v>2143</v>
      </c>
      <c r="K202" s="381"/>
      <c r="L202" s="381"/>
      <c r="M202" s="381"/>
      <c r="N202" s="381"/>
    </row>
    <row r="203" spans="1:15" s="29" customFormat="1" ht="15.6" thickBot="1">
      <c r="A203" s="153" t="s">
        <v>112</v>
      </c>
      <c r="B203" s="154"/>
      <c r="C203" s="79">
        <f t="shared" ref="C203:J203" si="39">SUM(C197:C202)</f>
        <v>4000</v>
      </c>
      <c r="D203" s="79">
        <f t="shared" si="39"/>
        <v>0</v>
      </c>
      <c r="E203" s="79">
        <f t="shared" si="39"/>
        <v>4000</v>
      </c>
      <c r="F203" s="79">
        <f t="shared" si="39"/>
        <v>0</v>
      </c>
      <c r="G203" s="79">
        <f t="shared" si="39"/>
        <v>0</v>
      </c>
      <c r="H203" s="79">
        <f t="shared" si="39"/>
        <v>0</v>
      </c>
      <c r="I203" s="79">
        <f t="shared" si="39"/>
        <v>0</v>
      </c>
      <c r="J203" s="79">
        <f t="shared" si="39"/>
        <v>4000</v>
      </c>
    </row>
    <row r="204" spans="1:15" ht="16.350000000000001" thickTop="1">
      <c r="A204" s="25" t="s">
        <v>150</v>
      </c>
      <c r="B204" s="26"/>
      <c r="C204" s="26"/>
      <c r="D204" s="226" t="s">
        <v>0</v>
      </c>
      <c r="E204" s="226" t="s">
        <v>1</v>
      </c>
      <c r="F204" s="226" t="s">
        <v>2</v>
      </c>
      <c r="G204" s="226" t="s">
        <v>3</v>
      </c>
      <c r="H204" s="226" t="s">
        <v>4</v>
      </c>
      <c r="I204" s="226" t="s">
        <v>34</v>
      </c>
      <c r="J204" s="226" t="s">
        <v>5</v>
      </c>
      <c r="K204" s="381"/>
      <c r="L204" s="381"/>
      <c r="M204" s="381"/>
      <c r="N204" s="381"/>
      <c r="O204" s="381"/>
    </row>
    <row r="205" spans="1:15">
      <c r="A205" s="356" t="s">
        <v>89</v>
      </c>
      <c r="B205" s="357">
        <f>B186+B163+B143+B57+B74+B30+B3</f>
        <v>1252338</v>
      </c>
      <c r="C205" s="357">
        <f>C186+C163+C143+C121+C101+C74+C57+C30+C3</f>
        <v>1302623</v>
      </c>
      <c r="D205" s="27"/>
      <c r="E205" s="27"/>
      <c r="F205" s="27"/>
      <c r="G205" s="27"/>
      <c r="H205" s="27"/>
      <c r="I205" s="27"/>
      <c r="J205" s="27"/>
      <c r="K205" s="381"/>
      <c r="L205" s="381"/>
      <c r="M205" s="381"/>
      <c r="N205" s="381"/>
      <c r="O205" s="381"/>
    </row>
    <row r="206" spans="1:15">
      <c r="A206" s="28" t="s">
        <v>90</v>
      </c>
      <c r="B206" s="357">
        <f>B75+B4</f>
        <v>10245</v>
      </c>
      <c r="C206" s="357">
        <f>C187+C164+C144+C102+C75+C58+C31+C4</f>
        <v>12818</v>
      </c>
      <c r="D206" s="27"/>
      <c r="E206" s="27"/>
      <c r="F206" s="27"/>
      <c r="G206" s="27"/>
      <c r="H206" s="27"/>
      <c r="I206" s="27"/>
      <c r="J206" s="27"/>
      <c r="K206" s="381"/>
      <c r="L206" s="381"/>
      <c r="M206" s="381"/>
      <c r="N206" s="381"/>
      <c r="O206" s="381"/>
    </row>
    <row r="207" spans="1:15">
      <c r="A207" s="28" t="s">
        <v>91</v>
      </c>
      <c r="B207" s="357">
        <f>B188+B165+B145+B103+B76+B59+B32+B5</f>
        <v>40040</v>
      </c>
      <c r="C207" s="357">
        <f>C188+C165+C145+C123+C103+C76+C59+C32+C5</f>
        <v>528256</v>
      </c>
      <c r="D207" s="27"/>
      <c r="E207" s="27"/>
      <c r="F207" s="27"/>
      <c r="G207" s="27"/>
      <c r="H207" s="27"/>
      <c r="I207" s="27"/>
      <c r="J207" s="27"/>
      <c r="K207" s="381"/>
      <c r="L207" s="381"/>
      <c r="M207" s="381"/>
      <c r="N207" s="381"/>
      <c r="O207" s="381"/>
    </row>
    <row r="208" spans="1:15">
      <c r="A208" s="28" t="s">
        <v>92</v>
      </c>
      <c r="B208" s="357">
        <f>B189+B166+B146+B77+B33+B6</f>
        <v>0</v>
      </c>
      <c r="C208" s="357">
        <f>C189+C166+C146+C104+C77+C60+C33+C6</f>
        <v>0</v>
      </c>
      <c r="D208" s="27"/>
      <c r="E208" s="27"/>
      <c r="F208" s="27"/>
      <c r="G208" s="27"/>
      <c r="H208" s="27"/>
      <c r="I208" s="27"/>
      <c r="J208" s="27"/>
      <c r="K208" s="381"/>
      <c r="L208" s="381"/>
      <c r="M208" s="381"/>
      <c r="N208" s="381"/>
      <c r="O208" s="381"/>
    </row>
    <row r="209" spans="1:15" ht="14.1" customHeight="1">
      <c r="A209" s="28" t="s">
        <v>151</v>
      </c>
      <c r="B209" s="357"/>
      <c r="C209" s="357"/>
      <c r="D209" s="27"/>
      <c r="E209" s="27"/>
      <c r="F209" s="27"/>
      <c r="G209" s="27"/>
      <c r="H209" s="27"/>
      <c r="I209" s="27"/>
      <c r="J209" s="27"/>
      <c r="K209" s="381"/>
      <c r="L209" s="381"/>
      <c r="M209" s="381"/>
      <c r="N209" s="381"/>
      <c r="O209" s="381"/>
    </row>
    <row r="210" spans="1:15" ht="14.85" customHeight="1">
      <c r="A210" s="28" t="s">
        <v>152</v>
      </c>
      <c r="B210" s="357"/>
      <c r="C210" s="357">
        <v>0</v>
      </c>
      <c r="D210" s="27"/>
      <c r="E210" s="27"/>
      <c r="F210" s="27"/>
      <c r="G210" s="27"/>
      <c r="H210" s="27"/>
      <c r="I210" s="27"/>
      <c r="J210" s="27"/>
      <c r="K210" s="381"/>
      <c r="L210" s="381"/>
      <c r="M210" s="381"/>
      <c r="N210" s="381"/>
      <c r="O210" s="381"/>
    </row>
    <row r="211" spans="1:15">
      <c r="A211" s="356" t="s">
        <v>93</v>
      </c>
      <c r="B211" s="357">
        <f>SUM(B205:B210)</f>
        <v>1302623</v>
      </c>
      <c r="C211" s="357">
        <f>SUM(C205:C210)</f>
        <v>1843697</v>
      </c>
      <c r="D211" s="27"/>
      <c r="E211" s="27"/>
      <c r="F211" s="27"/>
      <c r="G211" s="27"/>
      <c r="H211" s="27"/>
      <c r="I211" s="27"/>
      <c r="J211" s="27"/>
      <c r="K211" s="381"/>
      <c r="L211" s="381"/>
      <c r="M211" s="381"/>
      <c r="N211" s="228"/>
      <c r="O211" s="228"/>
    </row>
    <row r="212" spans="1:15">
      <c r="A212" s="356" t="s">
        <v>94</v>
      </c>
      <c r="B212" s="357">
        <f>B191+B168+B148+B79+B35+B8</f>
        <v>81557</v>
      </c>
      <c r="C212" s="357">
        <f>C191+C168+C148+C126+C106+C79+C62+C35+C8</f>
        <v>90579.228600000002</v>
      </c>
      <c r="D212" s="357">
        <f>D191+D168+D148+D106+D79+D35+D8</f>
        <v>29856.44</v>
      </c>
      <c r="E212" s="357">
        <f>E191+E168+E148+E106+E79+E35+E8</f>
        <v>39609.855599999995</v>
      </c>
      <c r="F212" s="357">
        <f>F191+F168+F148+F106+F79+F35+F8</f>
        <v>624.84</v>
      </c>
      <c r="G212" s="357">
        <f>(G191+G168+G148+G106+G79+G35+G8)</f>
        <v>5531</v>
      </c>
      <c r="H212" s="357">
        <f>H191+H168+H148+H106+H79+H35+H8</f>
        <v>11292.692999999999</v>
      </c>
      <c r="I212" s="357">
        <f>I191+I168+I148+I126+I106+I79+I35+I8</f>
        <v>3664.4</v>
      </c>
      <c r="J212" s="357">
        <f>J191+J168+J148+J126+J106+J79+J35+J8</f>
        <v>90579.228599999988</v>
      </c>
      <c r="K212" s="381"/>
      <c r="L212" s="381"/>
      <c r="M212" s="381"/>
      <c r="N212" s="228"/>
      <c r="O212" s="228"/>
    </row>
    <row r="213" spans="1:15">
      <c r="A213" s="3" t="s">
        <v>95</v>
      </c>
      <c r="B213" s="309">
        <f>B9+B36+B65+B80+B108+B150+B169+B192</f>
        <v>1221066</v>
      </c>
      <c r="C213" s="309">
        <f>C9+C36+C63+C80+C108+C150+C169+C192</f>
        <v>1347555.7714</v>
      </c>
      <c r="D213" s="27"/>
      <c r="E213" s="27"/>
      <c r="F213" s="27"/>
      <c r="G213" s="27"/>
      <c r="H213" s="27"/>
      <c r="I213" s="27"/>
      <c r="J213" s="27"/>
      <c r="K213" s="381"/>
      <c r="L213" s="381"/>
      <c r="M213" s="381"/>
      <c r="N213" s="381"/>
      <c r="O213" s="381"/>
    </row>
    <row r="214" spans="1:15" s="354" customFormat="1">
      <c r="A214" s="356" t="s">
        <v>98</v>
      </c>
      <c r="B214" s="357"/>
      <c r="C214" s="309">
        <f>SUM(D214:I214)</f>
        <v>12818.4</v>
      </c>
      <c r="D214" s="357">
        <f t="shared" ref="D214:J214" si="40">+D11+D82</f>
        <v>1688.7593110578159</v>
      </c>
      <c r="E214" s="357">
        <f t="shared" si="40"/>
        <v>7363.7372804416618</v>
      </c>
      <c r="F214" s="357">
        <f t="shared" si="40"/>
        <v>1368.0609069392767</v>
      </c>
      <c r="G214" s="357">
        <f t="shared" si="40"/>
        <v>2269.9675418387537</v>
      </c>
      <c r="H214" s="357">
        <f t="shared" si="40"/>
        <v>127.87495972249191</v>
      </c>
      <c r="I214" s="357">
        <f t="shared" si="40"/>
        <v>0</v>
      </c>
      <c r="J214" s="357">
        <f t="shared" si="40"/>
        <v>12818.400000000001</v>
      </c>
      <c r="K214" s="381"/>
      <c r="L214" s="381"/>
      <c r="M214" s="381"/>
      <c r="N214" s="381"/>
      <c r="O214" s="381"/>
    </row>
    <row r="215" spans="1:15">
      <c r="A215" s="356" t="s">
        <v>117</v>
      </c>
      <c r="B215" s="357"/>
      <c r="C215" s="357">
        <f t="shared" ref="C215:J215" si="41">C193+C171+C151+C110+C84+C65+C38+C14</f>
        <v>1174422.7714</v>
      </c>
      <c r="D215" s="357">
        <f t="shared" si="41"/>
        <v>116679.3643406</v>
      </c>
      <c r="E215" s="357">
        <f t="shared" si="41"/>
        <v>365893.24748856999</v>
      </c>
      <c r="F215" s="357">
        <f t="shared" si="41"/>
        <v>62757.193030210001</v>
      </c>
      <c r="G215" s="357">
        <f t="shared" si="41"/>
        <v>82771.76654062001</v>
      </c>
      <c r="H215" s="357">
        <f t="shared" si="41"/>
        <v>6127</v>
      </c>
      <c r="I215" s="357">
        <f t="shared" si="41"/>
        <v>540194.19999999995</v>
      </c>
      <c r="J215" s="357">
        <f t="shared" si="41"/>
        <v>1174422.7714</v>
      </c>
      <c r="K215" s="381"/>
      <c r="L215" s="262"/>
      <c r="M215" s="381"/>
      <c r="N215" s="381"/>
      <c r="O215" s="381"/>
    </row>
    <row r="216" spans="1:15">
      <c r="A216" s="356" t="s">
        <v>102</v>
      </c>
      <c r="B216" s="357"/>
      <c r="C216" s="357">
        <f t="shared" ref="C216:I216" si="42">C87+C16</f>
        <v>7494.0599999999995</v>
      </c>
      <c r="D216" s="357">
        <f t="shared" si="42"/>
        <v>-1369.7440000000001</v>
      </c>
      <c r="E216" s="357">
        <f t="shared" si="42"/>
        <v>2723.8214000000003</v>
      </c>
      <c r="F216" s="357">
        <f t="shared" si="42"/>
        <v>-975.92769999999996</v>
      </c>
      <c r="G216" s="357">
        <f t="shared" si="42"/>
        <v>-992.20069999999998</v>
      </c>
      <c r="H216" s="357">
        <f t="shared" si="42"/>
        <v>425.4</v>
      </c>
      <c r="I216" s="357">
        <f t="shared" si="42"/>
        <v>189</v>
      </c>
      <c r="J216" s="357"/>
      <c r="K216" s="381"/>
      <c r="L216" s="381"/>
      <c r="M216" s="381"/>
      <c r="N216" s="228"/>
      <c r="O216" s="381"/>
    </row>
    <row r="217" spans="1:15">
      <c r="A217" s="356" t="s">
        <v>153</v>
      </c>
      <c r="B217" s="357"/>
      <c r="C217" s="357">
        <f>C172+C170+C85+C86+C83+C12+C111+C112+C131+C132+C133+C134</f>
        <v>550877</v>
      </c>
      <c r="D217" s="357">
        <f t="shared" ref="D217:I217" si="43">D172+D170+D85+D86+D83+D12+D111+D112+D131+D132+D133+D134</f>
        <v>33548.826000000001</v>
      </c>
      <c r="E217" s="357">
        <f t="shared" si="43"/>
        <v>72305.930999999997</v>
      </c>
      <c r="F217" s="357">
        <f t="shared" si="43"/>
        <v>18586.222000000002</v>
      </c>
      <c r="G217" s="357">
        <f t="shared" si="43"/>
        <v>19874.021000000001</v>
      </c>
      <c r="H217" s="357">
        <f t="shared" si="43"/>
        <v>0</v>
      </c>
      <c r="I217" s="357">
        <f t="shared" si="43"/>
        <v>406562</v>
      </c>
      <c r="J217" s="357">
        <f>J172+J170+J85+J86+J83+J12+J111+J112+J131+J132+J133+J134</f>
        <v>550877</v>
      </c>
      <c r="K217" s="381"/>
      <c r="L217" s="381"/>
      <c r="M217" s="381"/>
      <c r="N217" s="228"/>
      <c r="O217" s="381"/>
    </row>
    <row r="218" spans="1:15" s="151" customFormat="1">
      <c r="A218" s="275" t="s">
        <v>103</v>
      </c>
      <c r="B218" s="357"/>
      <c r="C218" s="357">
        <f t="shared" ref="C218:J218" si="44">C17+C39+C88+C114+C173</f>
        <v>0</v>
      </c>
      <c r="D218" s="357">
        <f t="shared" si="44"/>
        <v>0</v>
      </c>
      <c r="E218" s="357">
        <f t="shared" si="44"/>
        <v>0</v>
      </c>
      <c r="F218" s="357">
        <f t="shared" si="44"/>
        <v>0</v>
      </c>
      <c r="G218" s="357">
        <f t="shared" si="44"/>
        <v>0</v>
      </c>
      <c r="H218" s="357">
        <f t="shared" si="44"/>
        <v>0</v>
      </c>
      <c r="I218" s="357">
        <f t="shared" si="44"/>
        <v>0</v>
      </c>
      <c r="J218" s="357">
        <f t="shared" si="44"/>
        <v>0</v>
      </c>
      <c r="K218" s="381"/>
      <c r="L218" s="381"/>
      <c r="M218" s="381"/>
      <c r="N218" s="228"/>
      <c r="O218" s="381"/>
    </row>
    <row r="219" spans="1:15">
      <c r="A219" s="356" t="s">
        <v>104</v>
      </c>
      <c r="B219" s="357"/>
      <c r="C219" s="357">
        <f>(C212+C214+C215+C217+C218)</f>
        <v>1828697.4</v>
      </c>
      <c r="D219" s="357">
        <f t="shared" ref="D219:J219" si="45">(D212+D214+D215+D216+D217+D218)</f>
        <v>180403.6456516578</v>
      </c>
      <c r="E219" s="357">
        <f>(E212+E214+E215+E216+E217+E218)</f>
        <v>487896.59276901162</v>
      </c>
      <c r="F219" s="357">
        <f t="shared" si="45"/>
        <v>82360.38823714928</v>
      </c>
      <c r="G219" s="357">
        <f t="shared" si="45"/>
        <v>109454.55438245877</v>
      </c>
      <c r="H219" s="357">
        <f>(H212+H214+H215+H216+H217+H218)</f>
        <v>17972.967959722493</v>
      </c>
      <c r="I219" s="357">
        <f>(I212+I214+I215+I216+I217+I218)+H52+H47</f>
        <v>951310.6</v>
      </c>
      <c r="J219" s="357">
        <f t="shared" si="45"/>
        <v>1828697.4</v>
      </c>
      <c r="K219" s="381"/>
      <c r="L219" s="381"/>
      <c r="M219" s="381"/>
      <c r="N219" s="228"/>
      <c r="O219" s="381"/>
    </row>
    <row r="220" spans="1:15" s="381" customFormat="1">
      <c r="A220" s="156" t="s">
        <v>1340</v>
      </c>
      <c r="B220" s="154"/>
      <c r="C220" s="291">
        <f>+C105+C125</f>
        <v>507600</v>
      </c>
      <c r="D220" s="481">
        <f>+D119+D141</f>
        <v>26539</v>
      </c>
      <c r="E220" s="481">
        <f t="shared" ref="E220:I220" si="46">+E119+E141</f>
        <v>52646</v>
      </c>
      <c r="F220" s="481">
        <f t="shared" si="46"/>
        <v>8035</v>
      </c>
      <c r="G220" s="481">
        <f t="shared" si="46"/>
        <v>12780</v>
      </c>
      <c r="H220" s="481">
        <f t="shared" si="46"/>
        <v>0</v>
      </c>
      <c r="I220" s="481">
        <f t="shared" si="46"/>
        <v>407600</v>
      </c>
      <c r="J220" s="239">
        <f>+J119+J141</f>
        <v>507600</v>
      </c>
      <c r="K220" s="483"/>
      <c r="L220" s="482"/>
      <c r="N220" s="228"/>
    </row>
    <row r="221" spans="1:15" s="381" customFormat="1">
      <c r="A221" s="156" t="s">
        <v>1344</v>
      </c>
      <c r="B221" s="154"/>
      <c r="C221" s="291">
        <f t="shared" ref="C221:J222" si="47">+C20+C43+C66+C91+C155+C176+C197</f>
        <v>107073</v>
      </c>
      <c r="D221" s="481">
        <f t="shared" si="47"/>
        <v>12082</v>
      </c>
      <c r="E221" s="481">
        <f t="shared" si="47"/>
        <v>35688</v>
      </c>
      <c r="F221" s="481">
        <f t="shared" si="47"/>
        <v>5642</v>
      </c>
      <c r="G221" s="481">
        <f t="shared" si="47"/>
        <v>7759</v>
      </c>
      <c r="H221" s="481">
        <f t="shared" si="47"/>
        <v>1277</v>
      </c>
      <c r="I221" s="481">
        <f t="shared" si="47"/>
        <v>44625</v>
      </c>
      <c r="J221" s="239">
        <f t="shared" si="47"/>
        <v>107073</v>
      </c>
      <c r="K221" s="483"/>
      <c r="L221" s="482"/>
      <c r="N221" s="228"/>
    </row>
    <row r="222" spans="1:15" s="381" customFormat="1">
      <c r="A222" s="156" t="s">
        <v>1337</v>
      </c>
      <c r="B222" s="154"/>
      <c r="C222" s="291">
        <f t="shared" si="47"/>
        <v>121402</v>
      </c>
      <c r="D222" s="481">
        <f t="shared" si="47"/>
        <v>16839</v>
      </c>
      <c r="E222" s="481">
        <f t="shared" si="47"/>
        <v>41025</v>
      </c>
      <c r="F222" s="481">
        <f t="shared" si="47"/>
        <v>10563</v>
      </c>
      <c r="G222" s="481">
        <f t="shared" si="47"/>
        <v>9113</v>
      </c>
      <c r="H222" s="481">
        <f t="shared" si="47"/>
        <v>1444</v>
      </c>
      <c r="I222" s="481">
        <f t="shared" si="47"/>
        <v>42418</v>
      </c>
      <c r="J222" s="239">
        <f t="shared" si="47"/>
        <v>121402</v>
      </c>
      <c r="K222" s="483"/>
      <c r="L222" s="482"/>
      <c r="N222" s="228"/>
    </row>
    <row r="223" spans="1:15" s="381" customFormat="1">
      <c r="A223" s="156" t="s">
        <v>106</v>
      </c>
      <c r="B223" s="154"/>
      <c r="C223" s="291">
        <f>C199+C178+C157+C93+C68+C46+C22</f>
        <v>74900</v>
      </c>
      <c r="D223" s="481">
        <f>D199+D178+D157+D93+D68+D46+D22</f>
        <v>8452</v>
      </c>
      <c r="E223" s="481">
        <f t="shared" ref="E223:J223" si="48">E199+E178+E157+E93+E68+E46+E22</f>
        <v>23908</v>
      </c>
      <c r="F223" s="481">
        <f t="shared" si="48"/>
        <v>3948</v>
      </c>
      <c r="G223" s="481">
        <f t="shared" si="48"/>
        <v>5425</v>
      </c>
      <c r="H223" s="481">
        <f t="shared" si="48"/>
        <v>891</v>
      </c>
      <c r="I223" s="481">
        <f t="shared" si="48"/>
        <v>32276</v>
      </c>
      <c r="J223" s="239">
        <f t="shared" si="48"/>
        <v>74900</v>
      </c>
      <c r="K223" s="483">
        <f>+J223-C223</f>
        <v>0</v>
      </c>
      <c r="L223" s="482"/>
      <c r="N223" s="228"/>
    </row>
    <row r="224" spans="1:15" s="29" customFormat="1">
      <c r="A224" s="156" t="s">
        <v>123</v>
      </c>
      <c r="B224" s="154"/>
      <c r="C224" s="291">
        <f>C200+C179+C158+C94+C69+C49+C23</f>
        <v>274854</v>
      </c>
      <c r="D224" s="481">
        <f t="shared" ref="D224:I224" si="49">D200+D179+D158+D94+D69+D49+D48+D23</f>
        <v>48531</v>
      </c>
      <c r="E224" s="481">
        <f t="shared" si="49"/>
        <v>75728</v>
      </c>
      <c r="F224" s="481">
        <f t="shared" si="49"/>
        <v>14235</v>
      </c>
      <c r="G224" s="481">
        <f t="shared" si="49"/>
        <v>19633</v>
      </c>
      <c r="H224" s="481">
        <f t="shared" si="49"/>
        <v>6290</v>
      </c>
      <c r="I224" s="481">
        <f t="shared" si="49"/>
        <v>110437</v>
      </c>
      <c r="J224" s="239">
        <f>J200+J179+J158+J94+J69+J49+J48+J23</f>
        <v>274854</v>
      </c>
      <c r="K224" s="227"/>
    </row>
    <row r="225" spans="1:14" s="29" customFormat="1">
      <c r="A225" s="156" t="s">
        <v>154</v>
      </c>
      <c r="B225" s="154"/>
      <c r="C225" s="291">
        <f t="shared" ref="C225" si="50">+C42</f>
        <v>0</v>
      </c>
      <c r="D225" s="481">
        <f>+D42+D45+D47</f>
        <v>50000</v>
      </c>
      <c r="E225" s="481">
        <f t="shared" ref="E225:I225" si="51">+E42+E45+E47</f>
        <v>10000</v>
      </c>
      <c r="F225" s="481">
        <f t="shared" si="51"/>
        <v>0</v>
      </c>
      <c r="G225" s="481">
        <f t="shared" si="51"/>
        <v>5000</v>
      </c>
      <c r="H225" s="481">
        <f t="shared" si="51"/>
        <v>701</v>
      </c>
      <c r="I225" s="481">
        <f t="shared" si="51"/>
        <v>-65701</v>
      </c>
      <c r="J225" s="239">
        <f>+J42+J45</f>
        <v>0</v>
      </c>
      <c r="K225" s="227"/>
    </row>
    <row r="226" spans="1:14" s="29" customFormat="1">
      <c r="A226" s="156" t="s">
        <v>155</v>
      </c>
      <c r="B226" s="154"/>
      <c r="C226" s="291">
        <v>0</v>
      </c>
      <c r="D226" s="239">
        <v>0</v>
      </c>
      <c r="E226" s="239">
        <v>0</v>
      </c>
      <c r="F226" s="239">
        <v>0</v>
      </c>
      <c r="G226" s="239">
        <v>0</v>
      </c>
      <c r="H226" s="239">
        <v>0</v>
      </c>
      <c r="I226" s="239">
        <v>0</v>
      </c>
      <c r="J226" s="239">
        <v>0</v>
      </c>
      <c r="K226" s="227"/>
    </row>
    <row r="227" spans="1:14" s="29" customFormat="1">
      <c r="A227" s="156" t="s">
        <v>110</v>
      </c>
      <c r="B227" s="154"/>
      <c r="C227" s="291">
        <f>C201+C182+C159+C97+C70+C52+C53+C26</f>
        <v>228349</v>
      </c>
      <c r="D227" s="481">
        <f>D201+D182+D181+D159+D97+D96+D53+D51+D26+D25</f>
        <v>50901</v>
      </c>
      <c r="E227" s="481">
        <f>E201+E182+E159+E97+E53+E51+E26+E25</f>
        <v>73693</v>
      </c>
      <c r="F227" s="481">
        <f>F201+F182+F159+F97+F53+F51+F26+F25</f>
        <v>12007</v>
      </c>
      <c r="G227" s="481">
        <f>G201+G182+G159+G97+G53+G51+G26+G25</f>
        <v>31477</v>
      </c>
      <c r="H227" s="481">
        <f>H201+H182+H159+H97+H53+H51+H26+H25</f>
        <v>2616</v>
      </c>
      <c r="I227" s="481">
        <f>I201+I182+I159+I97+I70+I53+I51+I26+I25</f>
        <v>57655</v>
      </c>
      <c r="J227" s="239">
        <f>J201+J182+J181+J159+J97+J96+J70+J53+J52+J51+J26+J25</f>
        <v>228349</v>
      </c>
      <c r="K227" s="227">
        <f>+J227-C227</f>
        <v>0</v>
      </c>
    </row>
    <row r="228" spans="1:14" s="151" customFormat="1">
      <c r="A228" s="145" t="s">
        <v>111</v>
      </c>
      <c r="B228" s="147"/>
      <c r="C228" s="147">
        <f>C211-C223-C222-C220-C221-C224-C225-C226-C227-C209-C210+C218</f>
        <v>529519</v>
      </c>
      <c r="D228" s="270">
        <f>D202+D183+D160+D140+D118+D98+D71+D54+D27</f>
        <v>52056.645651657804</v>
      </c>
      <c r="E228" s="270">
        <f t="shared" ref="E228:I228" si="52">E202+E183+E160+E140+E118+E98+E71+E54+E27</f>
        <v>178145.19276901166</v>
      </c>
      <c r="F228" s="270">
        <f>(F202+F183+F160+F140+F118+F98+F71+F54+F27)-0.5</f>
        <v>28880.488237149279</v>
      </c>
      <c r="G228" s="270">
        <f t="shared" si="52"/>
        <v>31896.554382458758</v>
      </c>
      <c r="H228" s="270">
        <f t="shared" si="52"/>
        <v>5636.9679597224913</v>
      </c>
      <c r="I228" s="270">
        <f t="shared" si="52"/>
        <v>232902.59999999995</v>
      </c>
      <c r="J228" s="270">
        <f>J202+J183+J160+J140+J118+J98+J71+J54+J27</f>
        <v>529518.94899999991</v>
      </c>
      <c r="K228" s="262">
        <f>+J228-C228</f>
        <v>-5.100000009406358E-2</v>
      </c>
      <c r="L228" s="381"/>
      <c r="M228" s="381"/>
      <c r="N228" s="381"/>
    </row>
    <row r="229" spans="1:14" s="29" customFormat="1">
      <c r="A229" s="153" t="s">
        <v>112</v>
      </c>
      <c r="B229" s="154"/>
      <c r="C229" s="79">
        <f t="shared" ref="C229:I229" si="53">SUM(C220:C228)</f>
        <v>1843697</v>
      </c>
      <c r="D229" s="79">
        <f t="shared" si="53"/>
        <v>265400.64565165783</v>
      </c>
      <c r="E229" s="79">
        <f t="shared" si="53"/>
        <v>490833.19276901166</v>
      </c>
      <c r="F229" s="79">
        <f t="shared" si="53"/>
        <v>83310.488237149286</v>
      </c>
      <c r="G229" s="79">
        <f t="shared" si="53"/>
        <v>123083.55438245877</v>
      </c>
      <c r="H229" s="79">
        <f t="shared" si="53"/>
        <v>18855.967959722489</v>
      </c>
      <c r="I229" s="79">
        <f t="shared" si="53"/>
        <v>862212.6</v>
      </c>
      <c r="J229" s="79">
        <f>SUM(D229:I229)</f>
        <v>1843696.449</v>
      </c>
      <c r="L229" s="227">
        <f>+J229-J219</f>
        <v>14999.049000000115</v>
      </c>
    </row>
    <row r="230" spans="1:14">
      <c r="A230" s="381"/>
      <c r="B230" s="124"/>
      <c r="C230" s="124">
        <f>+C229-C219</f>
        <v>14999.600000000093</v>
      </c>
      <c r="D230" s="124">
        <f t="shared" ref="D230:I230" si="54">+D219-D229</f>
        <v>-84997.000000000029</v>
      </c>
      <c r="E230" s="124">
        <f t="shared" si="54"/>
        <v>-2936.6000000000349</v>
      </c>
      <c r="F230" s="124">
        <f t="shared" si="54"/>
        <v>-950.10000000000582</v>
      </c>
      <c r="G230" s="124">
        <f t="shared" si="54"/>
        <v>-13629</v>
      </c>
      <c r="H230" s="124">
        <f t="shared" si="54"/>
        <v>-882.99999999999636</v>
      </c>
      <c r="I230" s="124">
        <f t="shared" si="54"/>
        <v>89098</v>
      </c>
      <c r="J230" s="124"/>
      <c r="K230" s="381" t="s">
        <v>156</v>
      </c>
      <c r="L230" s="381"/>
      <c r="M230" s="381"/>
      <c r="N230" s="381"/>
    </row>
    <row r="231" spans="1:14" s="381" customFormat="1">
      <c r="B231" s="124"/>
      <c r="C231" s="124">
        <f>+C28+C55+C72+C99+C119+C141+C161+C184+C203</f>
        <v>1843697</v>
      </c>
      <c r="D231" s="124">
        <f>+D28+D55+D72+D99+D119+D141+D161+D184+D203</f>
        <v>265400.64565165783</v>
      </c>
      <c r="E231" s="124">
        <f t="shared" ref="E231:I231" si="55">+E28+E55+E72+E99+E119+E141+E161+E184+E203</f>
        <v>490833.1927690116</v>
      </c>
      <c r="F231" s="124">
        <f>(+F28+F55+F72+F99+F119+F141+F161+F184+F203)-0.5</f>
        <v>83310.488237149271</v>
      </c>
      <c r="G231" s="124">
        <f t="shared" si="55"/>
        <v>123083.55438245875</v>
      </c>
      <c r="H231" s="124">
        <f t="shared" si="55"/>
        <v>18855.967959722489</v>
      </c>
      <c r="I231" s="124">
        <f t="shared" si="55"/>
        <v>862212.59999999986</v>
      </c>
      <c r="J231" s="124"/>
    </row>
    <row r="232" spans="1:14" s="381" customFormat="1">
      <c r="B232" s="124"/>
      <c r="C232" s="124">
        <f>+C229-C231</f>
        <v>0</v>
      </c>
      <c r="D232" s="124">
        <f>+D229-D231</f>
        <v>0</v>
      </c>
      <c r="E232" s="124">
        <f t="shared" ref="E232:I232" si="56">+E229-E231</f>
        <v>0</v>
      </c>
      <c r="F232" s="124">
        <f t="shared" si="56"/>
        <v>0</v>
      </c>
      <c r="G232" s="124">
        <f t="shared" si="56"/>
        <v>0</v>
      </c>
      <c r="H232" s="124">
        <f t="shared" si="56"/>
        <v>0</v>
      </c>
      <c r="I232" s="124">
        <f t="shared" si="56"/>
        <v>0</v>
      </c>
      <c r="J232" s="124"/>
    </row>
    <row r="233" spans="1:14" s="381" customFormat="1">
      <c r="B233" s="124"/>
      <c r="C233" s="124"/>
      <c r="D233" s="124"/>
      <c r="E233" s="124"/>
      <c r="F233" s="124"/>
      <c r="G233" s="124"/>
      <c r="H233" s="124"/>
      <c r="I233" s="124"/>
      <c r="J233" s="124"/>
    </row>
    <row r="234" spans="1:14" s="381" customFormat="1">
      <c r="B234" s="124"/>
      <c r="C234" s="124"/>
      <c r="D234" s="124"/>
      <c r="E234" s="124"/>
      <c r="F234" s="124"/>
      <c r="G234" s="124"/>
      <c r="H234" s="124"/>
      <c r="I234" s="124"/>
      <c r="J234" s="124"/>
    </row>
    <row r="235" spans="1:14">
      <c r="A235" s="381" t="s">
        <v>157</v>
      </c>
      <c r="B235" s="289"/>
      <c r="C235" s="288">
        <f>+(C211)+C226</f>
        <v>1843697</v>
      </c>
      <c r="D235" s="18">
        <f t="shared" ref="D235:J235" si="57">D195+D174+D153+D115+D89+D65+D40+D42+D18</f>
        <v>191225.6456516578</v>
      </c>
      <c r="E235" s="18">
        <f t="shared" si="57"/>
        <v>496137.19276901166</v>
      </c>
      <c r="F235" s="18">
        <f t="shared" si="57"/>
        <v>83311.38823714928</v>
      </c>
      <c r="G235" s="18">
        <f t="shared" si="57"/>
        <v>116440.55438245875</v>
      </c>
      <c r="H235" s="18">
        <f t="shared" si="57"/>
        <v>17972.967959722489</v>
      </c>
      <c r="I235" s="18">
        <f t="shared" si="57"/>
        <v>531009.6</v>
      </c>
      <c r="J235" s="18">
        <f t="shared" si="57"/>
        <v>1436097.3489999999</v>
      </c>
      <c r="K235" s="262">
        <f>+J235</f>
        <v>1436097.3489999999</v>
      </c>
      <c r="L235" s="381"/>
      <c r="M235" s="381"/>
      <c r="N235" s="381"/>
    </row>
    <row r="236" spans="1:14">
      <c r="A236" s="381"/>
      <c r="B236" s="289"/>
      <c r="C236" s="262">
        <v>1843697</v>
      </c>
      <c r="D236" s="124">
        <v>191226</v>
      </c>
      <c r="E236" s="124">
        <v>496137</v>
      </c>
      <c r="F236" s="124">
        <v>83311</v>
      </c>
      <c r="G236" s="124">
        <v>116441</v>
      </c>
      <c r="H236" s="124">
        <v>17973</v>
      </c>
      <c r="I236" s="124">
        <v>531010</v>
      </c>
      <c r="J236" s="124">
        <v>1436097</v>
      </c>
      <c r="K236" s="381"/>
      <c r="L236" s="381"/>
      <c r="M236" s="381"/>
      <c r="N236" s="381"/>
    </row>
    <row r="237" spans="1:14">
      <c r="A237" s="381"/>
      <c r="B237" s="381"/>
      <c r="C237" s="290">
        <f>+C235-C236</f>
        <v>0</v>
      </c>
      <c r="D237" s="290">
        <f t="shared" ref="D237:J237" si="58">+D235-D236</f>
        <v>-0.35434834219631739</v>
      </c>
      <c r="E237" s="290">
        <f t="shared" si="58"/>
        <v>0.19276901165721938</v>
      </c>
      <c r="F237" s="290">
        <f t="shared" si="58"/>
        <v>0.38823714928003028</v>
      </c>
      <c r="G237" s="290">
        <f t="shared" si="58"/>
        <v>-0.44561754124879371</v>
      </c>
      <c r="H237" s="290">
        <f t="shared" si="58"/>
        <v>-3.2040277510532178E-2</v>
      </c>
      <c r="I237" s="290">
        <f t="shared" si="58"/>
        <v>-0.40000000002328306</v>
      </c>
      <c r="J237" s="290">
        <f t="shared" si="58"/>
        <v>0.34899999992921948</v>
      </c>
      <c r="K237" s="381"/>
      <c r="L237" s="381"/>
      <c r="M237" s="381"/>
      <c r="N237" s="381"/>
    </row>
    <row r="238" spans="1:14">
      <c r="A238" s="381"/>
      <c r="B238" s="381"/>
      <c r="C238" s="262"/>
      <c r="D238" s="381"/>
      <c r="E238" s="381"/>
      <c r="F238" s="381"/>
      <c r="G238" s="381"/>
      <c r="H238" s="381"/>
      <c r="I238" s="381"/>
      <c r="J238" s="381"/>
      <c r="K238" s="381"/>
      <c r="L238" s="381"/>
      <c r="M238" s="381"/>
      <c r="N238" s="381"/>
    </row>
    <row r="239" spans="1:14" ht="15.6" customHeight="1">
      <c r="A239" s="289" t="s">
        <v>158</v>
      </c>
      <c r="B239" s="289" t="s">
        <v>159</v>
      </c>
      <c r="C239" s="262">
        <v>174006</v>
      </c>
      <c r="D239" s="262"/>
      <c r="E239" s="262"/>
      <c r="F239" s="262"/>
      <c r="G239" s="262"/>
      <c r="H239" s="262"/>
      <c r="I239" s="262">
        <v>174006</v>
      </c>
      <c r="J239" s="262">
        <f t="shared" ref="J239:J266" si="59">SUM(D239:I239)</f>
        <v>174006</v>
      </c>
      <c r="K239" s="381"/>
      <c r="L239" s="381"/>
      <c r="M239" s="381"/>
      <c r="N239" s="381"/>
    </row>
    <row r="240" spans="1:14">
      <c r="A240" s="381"/>
      <c r="B240" s="289" t="s">
        <v>160</v>
      </c>
      <c r="C240" s="287">
        <v>0</v>
      </c>
      <c r="D240" s="287">
        <v>25731</v>
      </c>
      <c r="E240" s="287">
        <v>72761</v>
      </c>
      <c r="F240" s="287">
        <v>12007</v>
      </c>
      <c r="G240" s="287">
        <v>21477</v>
      </c>
      <c r="H240" s="287">
        <v>3034</v>
      </c>
      <c r="I240" s="287">
        <v>-135010</v>
      </c>
      <c r="J240" s="287">
        <f t="shared" si="59"/>
        <v>0</v>
      </c>
      <c r="K240" s="381"/>
      <c r="L240" s="381"/>
      <c r="M240" s="381"/>
      <c r="N240" s="381"/>
    </row>
    <row r="241" spans="2:11" s="381" customFormat="1">
      <c r="B241" s="289" t="s">
        <v>156</v>
      </c>
      <c r="C241" s="287">
        <v>0</v>
      </c>
      <c r="D241" s="287">
        <v>10000</v>
      </c>
      <c r="E241" s="287"/>
      <c r="F241" s="287"/>
      <c r="G241" s="287"/>
      <c r="H241" s="287"/>
      <c r="I241" s="287">
        <v>-10000</v>
      </c>
      <c r="J241" s="287">
        <f t="shared" si="59"/>
        <v>0</v>
      </c>
    </row>
    <row r="242" spans="2:11" s="381" customFormat="1">
      <c r="B242" s="289" t="s">
        <v>156</v>
      </c>
      <c r="C242" s="287">
        <v>0</v>
      </c>
      <c r="D242" s="287"/>
      <c r="E242" s="287"/>
      <c r="F242" s="287"/>
      <c r="G242" s="287">
        <v>10000</v>
      </c>
      <c r="H242" s="287"/>
      <c r="I242" s="287">
        <v>-10000</v>
      </c>
      <c r="J242" s="287">
        <f t="shared" si="59"/>
        <v>0</v>
      </c>
    </row>
    <row r="243" spans="2:11" s="381" customFormat="1">
      <c r="B243" s="289" t="s">
        <v>156</v>
      </c>
      <c r="C243" s="287">
        <v>0</v>
      </c>
      <c r="D243" s="287">
        <v>15000</v>
      </c>
      <c r="E243" s="287"/>
      <c r="F243" s="287"/>
      <c r="G243" s="287"/>
      <c r="H243" s="287"/>
      <c r="I243" s="287">
        <v>-15000</v>
      </c>
      <c r="J243" s="287">
        <f t="shared" si="59"/>
        <v>0</v>
      </c>
    </row>
    <row r="244" spans="2:11" s="381" customFormat="1">
      <c r="B244" s="289" t="s">
        <v>156</v>
      </c>
      <c r="C244" s="287">
        <v>0</v>
      </c>
      <c r="D244" s="287">
        <v>3400</v>
      </c>
      <c r="E244" s="287"/>
      <c r="F244" s="287"/>
      <c r="G244" s="287"/>
      <c r="H244" s="287">
        <v>82</v>
      </c>
      <c r="I244" s="287">
        <v>-3482</v>
      </c>
      <c r="J244" s="287">
        <f t="shared" si="59"/>
        <v>0</v>
      </c>
    </row>
    <row r="245" spans="2:11" s="381" customFormat="1">
      <c r="B245" s="542" t="s">
        <v>161</v>
      </c>
      <c r="C245" s="543">
        <v>0</v>
      </c>
      <c r="D245" s="543"/>
      <c r="E245" s="543">
        <v>932</v>
      </c>
      <c r="F245" s="543"/>
      <c r="G245" s="543"/>
      <c r="H245" s="543">
        <v>-500</v>
      </c>
      <c r="I245" s="543">
        <f>-132-300</f>
        <v>-432</v>
      </c>
      <c r="J245" s="287">
        <f t="shared" ref="J245:J249" si="60">SUM(D245:I245)</f>
        <v>0</v>
      </c>
    </row>
    <row r="246" spans="2:11" s="381" customFormat="1">
      <c r="B246" s="289" t="s">
        <v>133</v>
      </c>
      <c r="C246" s="287">
        <v>100000</v>
      </c>
      <c r="D246" s="287"/>
      <c r="E246" s="287"/>
      <c r="F246" s="287"/>
      <c r="G246" s="287"/>
      <c r="H246" s="287"/>
      <c r="I246" s="287">
        <v>100000</v>
      </c>
      <c r="J246" s="287">
        <f t="shared" si="60"/>
        <v>100000</v>
      </c>
    </row>
    <row r="247" spans="2:11" s="381" customFormat="1">
      <c r="B247" s="289" t="s">
        <v>162</v>
      </c>
      <c r="C247" s="287">
        <v>0</v>
      </c>
      <c r="D247" s="287">
        <v>26539</v>
      </c>
      <c r="E247" s="287">
        <v>52646</v>
      </c>
      <c r="F247" s="287">
        <v>8035</v>
      </c>
      <c r="G247" s="287">
        <v>12780</v>
      </c>
      <c r="H247" s="287"/>
      <c r="I247" s="287">
        <v>-100000</v>
      </c>
      <c r="J247" s="287">
        <f t="shared" si="60"/>
        <v>0</v>
      </c>
    </row>
    <row r="248" spans="2:11" s="381" customFormat="1">
      <c r="B248" s="289" t="s">
        <v>137</v>
      </c>
      <c r="C248" s="287">
        <v>407600</v>
      </c>
      <c r="D248" s="287"/>
      <c r="E248" s="287"/>
      <c r="F248" s="287"/>
      <c r="G248" s="287"/>
      <c r="H248" s="287"/>
      <c r="I248" s="287">
        <v>407600</v>
      </c>
      <c r="J248" s="287">
        <f t="shared" si="60"/>
        <v>407600</v>
      </c>
    </row>
    <row r="249" spans="2:11" s="381" customFormat="1">
      <c r="B249" s="289" t="s">
        <v>163</v>
      </c>
      <c r="C249" s="287">
        <v>209443</v>
      </c>
      <c r="D249" s="287"/>
      <c r="E249" s="287"/>
      <c r="F249" s="287"/>
      <c r="G249" s="287"/>
      <c r="H249" s="287"/>
      <c r="I249" s="287">
        <v>209443</v>
      </c>
      <c r="J249" s="287">
        <f t="shared" si="60"/>
        <v>209443</v>
      </c>
    </row>
    <row r="250" spans="2:11">
      <c r="B250" s="289" t="s">
        <v>164</v>
      </c>
      <c r="C250" s="287">
        <v>0</v>
      </c>
      <c r="D250" s="287">
        <v>45301</v>
      </c>
      <c r="E250" s="287">
        <v>75728</v>
      </c>
      <c r="F250" s="287">
        <v>14235</v>
      </c>
      <c r="G250" s="287">
        <v>19633</v>
      </c>
      <c r="H250" s="287">
        <v>6290</v>
      </c>
      <c r="I250" s="287">
        <v>-161187</v>
      </c>
      <c r="J250" s="262">
        <f t="shared" si="59"/>
        <v>0</v>
      </c>
      <c r="K250" s="262"/>
    </row>
    <row r="251" spans="2:11" s="381" customFormat="1">
      <c r="B251" s="289" t="s">
        <v>156</v>
      </c>
      <c r="C251" s="287">
        <v>0</v>
      </c>
      <c r="D251" s="287">
        <v>10000</v>
      </c>
      <c r="E251" s="287"/>
      <c r="F251" s="287"/>
      <c r="G251" s="287"/>
      <c r="H251" s="287"/>
      <c r="I251" s="287">
        <v>-10000</v>
      </c>
      <c r="J251" s="287">
        <f t="shared" si="59"/>
        <v>0</v>
      </c>
    </row>
    <row r="252" spans="2:11" s="381" customFormat="1">
      <c r="B252" s="289" t="s">
        <v>156</v>
      </c>
      <c r="C252" s="287">
        <v>0</v>
      </c>
      <c r="D252" s="287">
        <v>5000</v>
      </c>
      <c r="E252" s="287">
        <v>10000</v>
      </c>
      <c r="F252" s="287"/>
      <c r="G252" s="287"/>
      <c r="H252" s="287"/>
      <c r="I252" s="287">
        <v>-15000</v>
      </c>
      <c r="J252" s="262">
        <f t="shared" si="59"/>
        <v>0</v>
      </c>
    </row>
    <row r="253" spans="2:11" s="381" customFormat="1">
      <c r="B253" s="289" t="s">
        <v>156</v>
      </c>
      <c r="C253" s="287">
        <v>0</v>
      </c>
      <c r="D253" s="287">
        <v>10000</v>
      </c>
      <c r="E253" s="287"/>
      <c r="F253" s="287"/>
      <c r="G253" s="287"/>
      <c r="H253" s="287"/>
      <c r="I253" s="287">
        <v>-10000</v>
      </c>
      <c r="J253" s="262">
        <f t="shared" si="59"/>
        <v>0</v>
      </c>
    </row>
    <row r="254" spans="2:11" s="381" customFormat="1">
      <c r="B254" s="289" t="s">
        <v>156</v>
      </c>
      <c r="C254" s="287">
        <v>0</v>
      </c>
      <c r="D254" s="287"/>
      <c r="E254" s="287"/>
      <c r="F254" s="287"/>
      <c r="G254" s="287"/>
      <c r="H254" s="287">
        <v>701</v>
      </c>
      <c r="I254" s="287">
        <v>-701</v>
      </c>
      <c r="J254" s="262">
        <f t="shared" si="59"/>
        <v>0</v>
      </c>
    </row>
    <row r="255" spans="2:11" s="381" customFormat="1">
      <c r="B255" s="289" t="s">
        <v>156</v>
      </c>
      <c r="C255" s="287">
        <v>0</v>
      </c>
      <c r="D255" s="287">
        <v>4000</v>
      </c>
      <c r="E255" s="287"/>
      <c r="F255" s="287"/>
      <c r="G255" s="287"/>
      <c r="H255" s="287"/>
      <c r="I255" s="287">
        <v>-4000</v>
      </c>
      <c r="J255" s="262">
        <f t="shared" si="59"/>
        <v>0</v>
      </c>
    </row>
    <row r="256" spans="2:11">
      <c r="B256" s="289" t="s">
        <v>1328</v>
      </c>
      <c r="C256" s="287">
        <v>57075</v>
      </c>
      <c r="D256" s="287"/>
      <c r="E256" s="287"/>
      <c r="F256" s="287"/>
      <c r="G256" s="287"/>
      <c r="H256" s="287"/>
      <c r="I256" s="287">
        <v>57075</v>
      </c>
      <c r="J256" s="262">
        <f t="shared" si="59"/>
        <v>57075</v>
      </c>
      <c r="K256" s="381"/>
    </row>
    <row r="257" spans="2:11" s="381" customFormat="1">
      <c r="B257" s="289" t="s">
        <v>1330</v>
      </c>
      <c r="C257" s="287">
        <v>0</v>
      </c>
      <c r="D257" s="287">
        <v>8452</v>
      </c>
      <c r="E257" s="287">
        <v>23908</v>
      </c>
      <c r="F257" s="287">
        <v>3948</v>
      </c>
      <c r="G257" s="287">
        <v>5425</v>
      </c>
      <c r="H257" s="287">
        <v>891</v>
      </c>
      <c r="I257" s="287">
        <v>-42624</v>
      </c>
      <c r="J257" s="262">
        <f t="shared" si="59"/>
        <v>0</v>
      </c>
    </row>
    <row r="258" spans="2:11" s="381" customFormat="1">
      <c r="B258" s="289" t="s">
        <v>156</v>
      </c>
      <c r="C258" s="287">
        <v>0</v>
      </c>
      <c r="D258" s="287">
        <v>7000</v>
      </c>
      <c r="E258" s="287"/>
      <c r="F258" s="287"/>
      <c r="G258" s="287"/>
      <c r="H258" s="287"/>
      <c r="I258" s="287">
        <v>-7000</v>
      </c>
      <c r="J258" s="262">
        <f t="shared" ref="J258" si="61">SUM(D258:I258)</f>
        <v>0</v>
      </c>
    </row>
    <row r="259" spans="2:11" s="381" customFormat="1">
      <c r="B259" s="289" t="s">
        <v>156</v>
      </c>
      <c r="C259" s="287">
        <v>0</v>
      </c>
      <c r="D259" s="287">
        <v>7000</v>
      </c>
      <c r="E259" s="287"/>
      <c r="F259" s="287"/>
      <c r="G259" s="287"/>
      <c r="H259" s="287"/>
      <c r="I259" s="287">
        <v>-7000</v>
      </c>
      <c r="J259" s="262">
        <f t="shared" si="59"/>
        <v>0</v>
      </c>
    </row>
    <row r="260" spans="2:11" s="381" customFormat="1">
      <c r="B260" s="289" t="s">
        <v>1338</v>
      </c>
      <c r="C260" s="287">
        <f>10918+81593</f>
        <v>92511</v>
      </c>
      <c r="D260" s="287"/>
      <c r="E260" s="287"/>
      <c r="F260" s="287"/>
      <c r="G260" s="287"/>
      <c r="H260" s="287"/>
      <c r="I260" s="287">
        <f>+C260</f>
        <v>92511</v>
      </c>
      <c r="J260" s="262">
        <f t="shared" si="59"/>
        <v>92511</v>
      </c>
    </row>
    <row r="261" spans="2:11" s="381" customFormat="1">
      <c r="B261" s="289" t="s">
        <v>156</v>
      </c>
      <c r="C261" s="287">
        <v>0</v>
      </c>
      <c r="D261" s="287">
        <v>7000</v>
      </c>
      <c r="E261" s="287"/>
      <c r="F261" s="287"/>
      <c r="G261" s="287">
        <v>5000</v>
      </c>
      <c r="H261" s="287"/>
      <c r="I261" s="287">
        <f>-7000-5000</f>
        <v>-12000</v>
      </c>
      <c r="J261" s="262">
        <f t="shared" si="59"/>
        <v>0</v>
      </c>
    </row>
    <row r="262" spans="2:11" s="381" customFormat="1">
      <c r="B262" s="289" t="s">
        <v>1339</v>
      </c>
      <c r="C262" s="287">
        <v>0</v>
      </c>
      <c r="D262" s="287">
        <v>16839</v>
      </c>
      <c r="E262" s="287">
        <v>41025</v>
      </c>
      <c r="F262" s="287">
        <v>10563</v>
      </c>
      <c r="G262" s="287">
        <v>9113</v>
      </c>
      <c r="H262" s="287">
        <v>1444</v>
      </c>
      <c r="I262" s="287">
        <v>-78984</v>
      </c>
      <c r="J262" s="262">
        <f t="shared" si="59"/>
        <v>0</v>
      </c>
    </row>
    <row r="263" spans="2:11" s="381" customFormat="1">
      <c r="B263" s="289" t="s">
        <v>1345</v>
      </c>
      <c r="C263" s="287">
        <v>81593</v>
      </c>
      <c r="D263" s="287"/>
      <c r="E263" s="287"/>
      <c r="F263" s="287"/>
      <c r="G263" s="287"/>
      <c r="H263" s="287"/>
      <c r="I263" s="287">
        <v>81593</v>
      </c>
      <c r="J263" s="262">
        <f t="shared" si="59"/>
        <v>81593</v>
      </c>
    </row>
    <row r="264" spans="2:11" s="381" customFormat="1">
      <c r="B264" s="289" t="s">
        <v>1346</v>
      </c>
      <c r="C264" s="287">
        <v>0</v>
      </c>
      <c r="D264" s="287">
        <v>12082</v>
      </c>
      <c r="E264" s="287">
        <v>35688</v>
      </c>
      <c r="F264" s="287">
        <v>5642</v>
      </c>
      <c r="G264" s="287">
        <v>7759</v>
      </c>
      <c r="H264" s="287">
        <v>1277</v>
      </c>
      <c r="I264" s="287">
        <v>-62448</v>
      </c>
      <c r="J264" s="262">
        <f t="shared" si="59"/>
        <v>0</v>
      </c>
    </row>
    <row r="265" spans="2:11" s="381" customFormat="1">
      <c r="B265" s="289" t="s">
        <v>165</v>
      </c>
      <c r="C265" s="287">
        <f>1026097-C239-C249-C256-C260-C263</f>
        <v>411469</v>
      </c>
      <c r="D265" s="287"/>
      <c r="E265" s="287"/>
      <c r="F265" s="287"/>
      <c r="G265" s="287"/>
      <c r="H265" s="287"/>
      <c r="I265" s="287">
        <v>411469</v>
      </c>
      <c r="J265" s="262">
        <f t="shared" si="59"/>
        <v>411469</v>
      </c>
    </row>
    <row r="266" spans="2:11">
      <c r="B266" s="542" t="s">
        <v>1371</v>
      </c>
      <c r="C266" s="262">
        <v>0</v>
      </c>
      <c r="D266" s="262">
        <f>54480-2423</f>
        <v>52057</v>
      </c>
      <c r="E266" s="262">
        <f>183449-5304</f>
        <v>178145</v>
      </c>
      <c r="F266" s="262">
        <v>28880</v>
      </c>
      <c r="G266" s="262">
        <f>32798-901</f>
        <v>31897</v>
      </c>
      <c r="H266" s="262">
        <v>5637</v>
      </c>
      <c r="I266" s="262">
        <f>-305244+901+2423+5304</f>
        <v>-296616</v>
      </c>
      <c r="J266" s="287">
        <f t="shared" si="59"/>
        <v>0</v>
      </c>
      <c r="K266" s="381"/>
    </row>
    <row r="267" spans="2:11" s="381" customFormat="1" hidden="1">
      <c r="B267" s="289" t="s">
        <v>166</v>
      </c>
      <c r="C267" s="262">
        <v>0</v>
      </c>
      <c r="D267" s="262"/>
      <c r="E267" s="262"/>
      <c r="F267" s="262"/>
      <c r="G267" s="262"/>
      <c r="H267" s="262"/>
      <c r="I267" s="262"/>
      <c r="J267" s="287">
        <f t="shared" ref="J267:J268" si="62">SUM(D267:I267)</f>
        <v>0</v>
      </c>
    </row>
    <row r="268" spans="2:11" s="381" customFormat="1" hidden="1">
      <c r="B268" s="542" t="s">
        <v>167</v>
      </c>
      <c r="C268" s="262">
        <v>0</v>
      </c>
      <c r="D268" s="262"/>
      <c r="E268" s="262"/>
      <c r="F268" s="262"/>
      <c r="G268" s="262"/>
      <c r="H268" s="262"/>
      <c r="I268" s="262"/>
      <c r="J268" s="287">
        <f t="shared" si="62"/>
        <v>0</v>
      </c>
    </row>
    <row r="269" spans="2:11" s="381" customFormat="1" hidden="1">
      <c r="B269" s="542" t="s">
        <v>168</v>
      </c>
      <c r="C269" s="543">
        <v>0</v>
      </c>
      <c r="D269" s="543"/>
      <c r="E269" s="543"/>
      <c r="F269" s="543"/>
      <c r="G269" s="543"/>
      <c r="H269" s="543"/>
      <c r="I269" s="543"/>
      <c r="J269" s="544">
        <f t="shared" ref="J269" si="63">SUM(D269:I269)</f>
        <v>0</v>
      </c>
    </row>
    <row r="270" spans="2:11" s="381" customFormat="1" hidden="1">
      <c r="B270" s="542" t="s">
        <v>169</v>
      </c>
      <c r="C270" s="543">
        <v>0</v>
      </c>
      <c r="D270" s="543"/>
      <c r="E270" s="543"/>
      <c r="F270" s="543"/>
      <c r="G270" s="543"/>
      <c r="H270" s="543"/>
      <c r="I270" s="543"/>
      <c r="J270" s="544">
        <f>SUM(D270:I270)</f>
        <v>0</v>
      </c>
    </row>
    <row r="271" spans="2:11" s="381" customFormat="1" hidden="1">
      <c r="B271" s="542" t="s">
        <v>170</v>
      </c>
      <c r="C271" s="543">
        <v>0</v>
      </c>
      <c r="D271" s="543"/>
      <c r="E271" s="543"/>
      <c r="F271" s="543"/>
      <c r="G271" s="543"/>
      <c r="H271" s="543"/>
      <c r="I271" s="543"/>
      <c r="J271" s="544">
        <f t="shared" ref="J271:J273" si="64">SUM(D271:I271)</f>
        <v>0</v>
      </c>
    </row>
    <row r="272" spans="2:11" s="381" customFormat="1" hidden="1">
      <c r="B272" s="542" t="s">
        <v>171</v>
      </c>
      <c r="C272" s="543">
        <v>0</v>
      </c>
      <c r="D272" s="543"/>
      <c r="E272" s="543"/>
      <c r="F272" s="543"/>
      <c r="G272" s="543"/>
      <c r="H272" s="543"/>
      <c r="I272" s="543"/>
      <c r="J272" s="544">
        <f t="shared" si="64"/>
        <v>0</v>
      </c>
    </row>
    <row r="273" spans="1:10" s="381" customFormat="1" hidden="1">
      <c r="B273" s="542" t="s">
        <v>156</v>
      </c>
      <c r="C273" s="543">
        <v>0</v>
      </c>
      <c r="D273" s="543"/>
      <c r="E273" s="543"/>
      <c r="F273" s="543"/>
      <c r="G273" s="543"/>
      <c r="H273" s="543"/>
      <c r="I273" s="543"/>
      <c r="J273" s="544">
        <f t="shared" si="64"/>
        <v>0</v>
      </c>
    </row>
    <row r="274" spans="1:10" s="381" customFormat="1">
      <c r="B274" s="542"/>
      <c r="C274" s="543"/>
      <c r="D274" s="543"/>
      <c r="E274" s="543"/>
      <c r="F274" s="543"/>
      <c r="G274" s="543"/>
      <c r="H274" s="543"/>
      <c r="I274" s="543"/>
      <c r="J274" s="287"/>
    </row>
    <row r="276" spans="1:10">
      <c r="B276" s="381" t="s">
        <v>5</v>
      </c>
      <c r="C276" s="262">
        <f>SUM(C239:C275)</f>
        <v>1533697</v>
      </c>
      <c r="D276" s="262">
        <f t="shared" ref="D276:J276" si="65">SUM(D239:D275)</f>
        <v>265401</v>
      </c>
      <c r="E276" s="262">
        <f t="shared" si="65"/>
        <v>490833</v>
      </c>
      <c r="F276" s="262">
        <f t="shared" si="65"/>
        <v>83310</v>
      </c>
      <c r="G276" s="262">
        <f t="shared" si="65"/>
        <v>123084</v>
      </c>
      <c r="H276" s="262">
        <f t="shared" si="65"/>
        <v>18856</v>
      </c>
      <c r="I276" s="262">
        <f t="shared" si="65"/>
        <v>552213</v>
      </c>
      <c r="J276" s="262">
        <f t="shared" si="65"/>
        <v>1533697</v>
      </c>
    </row>
    <row r="278" spans="1:10">
      <c r="B278" s="381"/>
      <c r="C278" s="381"/>
      <c r="D278" s="287">
        <f>+D276-D227-D225-D224-D223-D222-D220-D221-D228</f>
        <v>0.35434834219631739</v>
      </c>
      <c r="E278" s="287">
        <f t="shared" ref="E278:H278" si="66">+E276-E227-E225-E224-E223-E222-E220-E221-E228</f>
        <v>-0.19276901165721938</v>
      </c>
      <c r="F278" s="287">
        <f t="shared" si="66"/>
        <v>-0.48823714927857509</v>
      </c>
      <c r="G278" s="287">
        <f t="shared" si="66"/>
        <v>0.44561754124151776</v>
      </c>
      <c r="H278" s="287">
        <f t="shared" si="66"/>
        <v>3.2040277508713189E-2</v>
      </c>
      <c r="I278" s="287"/>
      <c r="J278" s="287"/>
    </row>
    <row r="280" spans="1:10">
      <c r="A280" s="289" t="s">
        <v>1373</v>
      </c>
      <c r="D280" s="262">
        <f>+D276-D220+2423</f>
        <v>241285</v>
      </c>
      <c r="E280" s="262">
        <f>+E276-E220+5304</f>
        <v>443491</v>
      </c>
      <c r="F280" s="262">
        <f>+F276-F220</f>
        <v>75275</v>
      </c>
      <c r="G280" s="262">
        <f>+G276-G220+901</f>
        <v>111205</v>
      </c>
      <c r="H280" s="262">
        <f>+H276-H220</f>
        <v>18856</v>
      </c>
      <c r="I280" s="262">
        <f>+I276-I220-2423-5304-901</f>
        <v>135985</v>
      </c>
    </row>
  </sheetData>
  <pageMargins left="0.45" right="0.45" top="0.75" bottom="0.75" header="0.3" footer="0.3"/>
  <pageSetup scale="70" fitToHeight="0" orientation="landscape" r:id="rId1"/>
  <headerFooter>
    <oddHeader xml:space="preserve">&amp;CDRAFT NOT FOR DISTRIBUTION, INTERNAL USE ONLY
</oddHeader>
  </headerFooter>
  <rowBreaks count="4" manualBreakCount="4">
    <brk id="72" max="16383" man="1"/>
    <brk id="141" max="16383" man="1"/>
    <brk id="184" max="9" man="1"/>
    <brk id="234" max="9" man="1"/>
  </row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2" tint="-0.249977111117893"/>
    <pageSetUpPr fitToPage="1"/>
  </sheetPr>
  <dimension ref="A1:N71"/>
  <sheetViews>
    <sheetView zoomScaleNormal="100" workbookViewId="0">
      <selection sqref="A1:N1"/>
    </sheetView>
  </sheetViews>
  <sheetFormatPr defaultColWidth="8.85546875" defaultRowHeight="14.85"/>
  <cols>
    <col min="1" max="1" width="39.5703125" style="151" customWidth="1"/>
    <col min="2" max="2" width="16" style="151" customWidth="1"/>
    <col min="3" max="3" width="7.7109375" style="152" customWidth="1"/>
    <col min="4" max="4" width="12.140625" style="151" customWidth="1"/>
    <col min="5" max="5" width="10.7109375" style="151" customWidth="1"/>
    <col min="6" max="6" width="11" style="151" customWidth="1"/>
    <col min="7" max="7" width="9.5703125" style="151" customWidth="1"/>
    <col min="8" max="8" width="8.42578125" style="151" customWidth="1"/>
    <col min="9" max="10" width="7.140625" style="151" customWidth="1"/>
    <col min="11" max="11" width="7.7109375" style="151" customWidth="1"/>
    <col min="12" max="12" width="9.7109375" style="151" customWidth="1"/>
    <col min="13" max="13" width="9.140625" style="151" customWidth="1"/>
    <col min="14" max="14" width="38.7109375" style="151" bestFit="1" customWidth="1"/>
    <col min="15" max="16384" width="8.85546875" style="151"/>
  </cols>
  <sheetData>
    <row r="1" spans="1:14" ht="15.6">
      <c r="A1" s="745" t="s">
        <v>227</v>
      </c>
      <c r="B1" s="745"/>
      <c r="C1" s="745"/>
      <c r="D1" s="745"/>
      <c r="E1" s="745"/>
      <c r="F1" s="745"/>
      <c r="G1" s="745"/>
      <c r="H1" s="745"/>
      <c r="I1" s="745"/>
      <c r="J1" s="745"/>
      <c r="K1" s="745"/>
      <c r="L1" s="745"/>
      <c r="M1" s="745"/>
      <c r="N1" s="745"/>
    </row>
    <row r="2" spans="1:14">
      <c r="A2" s="65" t="s">
        <v>881</v>
      </c>
      <c r="B2" s="381"/>
      <c r="C2" s="687"/>
      <c r="D2" s="381"/>
      <c r="E2" s="381"/>
      <c r="F2" s="381"/>
      <c r="G2" s="381"/>
      <c r="H2" s="381"/>
      <c r="I2" s="381"/>
      <c r="J2" s="381"/>
      <c r="K2" s="381"/>
      <c r="L2" s="381"/>
      <c r="M2" s="381"/>
      <c r="N2" s="381"/>
    </row>
    <row r="3" spans="1:14" ht="25.25">
      <c r="A3" s="528" t="s">
        <v>882</v>
      </c>
      <c r="B3" s="381"/>
      <c r="C3" s="687"/>
      <c r="D3" s="381"/>
      <c r="E3" s="381"/>
      <c r="F3" s="554" t="s">
        <v>275</v>
      </c>
      <c r="G3" s="381"/>
      <c r="H3" s="381"/>
      <c r="I3" s="381"/>
      <c r="J3" s="381"/>
      <c r="K3" s="381"/>
      <c r="L3" s="381"/>
      <c r="M3" s="381"/>
      <c r="N3" s="381"/>
    </row>
    <row r="4" spans="1:14" s="381" customFormat="1">
      <c r="A4" s="68" t="s">
        <v>883</v>
      </c>
      <c r="C4" s="687"/>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s="285" customFormat="1">
      <c r="A7" s="36" t="s">
        <v>884</v>
      </c>
      <c r="B7" s="36" t="s">
        <v>885</v>
      </c>
      <c r="C7" s="37" t="s">
        <v>287</v>
      </c>
      <c r="D7" s="303">
        <v>0.5</v>
      </c>
      <c r="E7" s="263">
        <v>166</v>
      </c>
      <c r="F7" s="309">
        <f>SUM(G7:L7)</f>
        <v>170</v>
      </c>
      <c r="G7" s="310">
        <v>0</v>
      </c>
      <c r="H7" s="310">
        <v>0</v>
      </c>
      <c r="I7" s="310">
        <v>0</v>
      </c>
      <c r="J7" s="310">
        <v>0</v>
      </c>
      <c r="K7" s="310">
        <v>170</v>
      </c>
      <c r="L7" s="310">
        <v>0</v>
      </c>
      <c r="M7" s="311">
        <v>0</v>
      </c>
      <c r="N7" s="374" t="s">
        <v>886</v>
      </c>
    </row>
    <row r="8" spans="1:14" s="285" customFormat="1" ht="15.05" customHeight="1">
      <c r="A8" s="36" t="s">
        <v>887</v>
      </c>
      <c r="B8" s="36" t="s">
        <v>888</v>
      </c>
      <c r="C8" s="37" t="s">
        <v>287</v>
      </c>
      <c r="D8" s="304">
        <v>0.15</v>
      </c>
      <c r="E8" s="263">
        <v>21</v>
      </c>
      <c r="F8" s="309">
        <f>SUM(G8:L8)</f>
        <v>22</v>
      </c>
      <c r="G8" s="310">
        <v>0</v>
      </c>
      <c r="H8" s="310">
        <v>0</v>
      </c>
      <c r="I8" s="310">
        <v>0</v>
      </c>
      <c r="J8" s="310">
        <v>0</v>
      </c>
      <c r="K8" s="310">
        <v>22</v>
      </c>
      <c r="L8" s="310">
        <v>0</v>
      </c>
      <c r="M8" s="311">
        <v>0</v>
      </c>
      <c r="N8" s="325" t="s">
        <v>889</v>
      </c>
    </row>
    <row r="9" spans="1:14" s="285" customFormat="1">
      <c r="A9" s="36" t="s">
        <v>426</v>
      </c>
      <c r="B9" s="264"/>
      <c r="C9" s="37" t="s">
        <v>287</v>
      </c>
      <c r="D9" s="304"/>
      <c r="E9" s="263">
        <v>0</v>
      </c>
      <c r="F9" s="309">
        <f>SUM(G9:L9)</f>
        <v>0</v>
      </c>
      <c r="G9" s="310">
        <v>0</v>
      </c>
      <c r="H9" s="310">
        <v>0</v>
      </c>
      <c r="I9" s="310">
        <v>0</v>
      </c>
      <c r="J9" s="310">
        <v>0</v>
      </c>
      <c r="K9" s="310">
        <v>0</v>
      </c>
      <c r="L9" s="310">
        <v>0</v>
      </c>
      <c r="M9" s="311">
        <v>0</v>
      </c>
      <c r="N9" s="327"/>
    </row>
    <row r="10" spans="1:14" ht="15.05" customHeight="1">
      <c r="A10" s="36" t="s">
        <v>286</v>
      </c>
      <c r="B10" s="36"/>
      <c r="C10" s="37" t="s">
        <v>287</v>
      </c>
      <c r="D10" s="39"/>
      <c r="E10" s="263">
        <v>0</v>
      </c>
      <c r="F10" s="309">
        <f>SUM(G10:M10)</f>
        <v>0</v>
      </c>
      <c r="G10" s="310">
        <v>0</v>
      </c>
      <c r="H10" s="310">
        <v>0</v>
      </c>
      <c r="I10" s="310">
        <v>0</v>
      </c>
      <c r="J10" s="310">
        <v>0</v>
      </c>
      <c r="K10" s="310">
        <v>0</v>
      </c>
      <c r="L10" s="310">
        <v>0</v>
      </c>
      <c r="M10" s="311">
        <v>0</v>
      </c>
      <c r="N10" s="355"/>
    </row>
    <row r="11" spans="1:14" ht="15.05" customHeight="1">
      <c r="A11" s="36" t="s">
        <v>286</v>
      </c>
      <c r="B11" s="264"/>
      <c r="C11" s="37" t="s">
        <v>287</v>
      </c>
      <c r="D11" s="39"/>
      <c r="E11" s="263">
        <v>0</v>
      </c>
      <c r="F11" s="309">
        <f>SUM(G11:M11)</f>
        <v>0</v>
      </c>
      <c r="G11" s="310">
        <v>0</v>
      </c>
      <c r="H11" s="310">
        <v>0</v>
      </c>
      <c r="I11" s="310">
        <v>0</v>
      </c>
      <c r="J11" s="310">
        <v>0</v>
      </c>
      <c r="K11" s="310">
        <v>0</v>
      </c>
      <c r="L11" s="310">
        <v>0</v>
      </c>
      <c r="M11" s="311">
        <v>0</v>
      </c>
      <c r="N11" s="355"/>
    </row>
    <row r="12" spans="1:14">
      <c r="A12" s="36" t="s">
        <v>286</v>
      </c>
      <c r="B12" s="264"/>
      <c r="C12" s="37" t="s">
        <v>287</v>
      </c>
      <c r="D12" s="39"/>
      <c r="E12" s="263">
        <v>0</v>
      </c>
      <c r="F12" s="309">
        <f>SUM(G12:M12)</f>
        <v>0</v>
      </c>
      <c r="G12" s="310">
        <v>0</v>
      </c>
      <c r="H12" s="310">
        <v>0</v>
      </c>
      <c r="I12" s="310">
        <v>0</v>
      </c>
      <c r="J12" s="310">
        <v>0</v>
      </c>
      <c r="K12" s="310">
        <v>0</v>
      </c>
      <c r="L12" s="310">
        <v>0</v>
      </c>
      <c r="M12" s="311">
        <v>0</v>
      </c>
      <c r="N12" s="355"/>
    </row>
    <row r="13" spans="1:14">
      <c r="A13" s="36" t="s">
        <v>286</v>
      </c>
      <c r="B13" s="264"/>
      <c r="C13" s="37" t="s">
        <v>287</v>
      </c>
      <c r="D13" s="39"/>
      <c r="E13" s="263">
        <v>0</v>
      </c>
      <c r="F13" s="309">
        <f>SUM(G13:M13)</f>
        <v>0</v>
      </c>
      <c r="G13" s="310">
        <v>0</v>
      </c>
      <c r="H13" s="310">
        <v>0</v>
      </c>
      <c r="I13" s="310">
        <v>0</v>
      </c>
      <c r="J13" s="310">
        <v>0</v>
      </c>
      <c r="K13" s="310">
        <v>0</v>
      </c>
      <c r="L13" s="310">
        <v>0</v>
      </c>
      <c r="M13" s="311">
        <v>0</v>
      </c>
      <c r="N13" s="355"/>
    </row>
    <row r="14" spans="1:14">
      <c r="A14" s="36" t="s">
        <v>286</v>
      </c>
      <c r="B14" s="265"/>
      <c r="C14" s="37" t="s">
        <v>287</v>
      </c>
      <c r="D14" s="39"/>
      <c r="E14" s="263">
        <v>0</v>
      </c>
      <c r="F14" s="309">
        <f>SUM(G14:M14)</f>
        <v>0</v>
      </c>
      <c r="G14" s="310">
        <v>0</v>
      </c>
      <c r="H14" s="310">
        <v>0</v>
      </c>
      <c r="I14" s="310">
        <v>0</v>
      </c>
      <c r="J14" s="310">
        <v>0</v>
      </c>
      <c r="K14" s="310">
        <v>0</v>
      </c>
      <c r="L14" s="310">
        <v>0</v>
      </c>
      <c r="M14" s="311">
        <v>0</v>
      </c>
      <c r="N14" s="355"/>
    </row>
    <row r="15" spans="1:14">
      <c r="A15" s="40" t="s">
        <v>288</v>
      </c>
      <c r="B15" s="265"/>
      <c r="C15" s="266"/>
      <c r="D15" s="41">
        <f t="shared" ref="D15:M15" si="0">SUM(D7:D14)</f>
        <v>0.65</v>
      </c>
      <c r="E15" s="42">
        <f t="shared" si="0"/>
        <v>187</v>
      </c>
      <c r="F15" s="43">
        <f t="shared" si="0"/>
        <v>192</v>
      </c>
      <c r="G15" s="43">
        <f t="shared" si="0"/>
        <v>0</v>
      </c>
      <c r="H15" s="43">
        <f t="shared" si="0"/>
        <v>0</v>
      </c>
      <c r="I15" s="43">
        <f t="shared" si="0"/>
        <v>0</v>
      </c>
      <c r="J15" s="43">
        <f t="shared" si="0"/>
        <v>0</v>
      </c>
      <c r="K15" s="43">
        <f t="shared" si="0"/>
        <v>192</v>
      </c>
      <c r="L15" s="43">
        <f t="shared" si="0"/>
        <v>0</v>
      </c>
      <c r="M15" s="43">
        <f t="shared" si="0"/>
        <v>0</v>
      </c>
      <c r="N15" s="355"/>
    </row>
    <row r="16" spans="1:14">
      <c r="A16" s="69" t="s">
        <v>289</v>
      </c>
      <c r="B16" s="70"/>
      <c r="C16" s="71"/>
      <c r="D16" s="70"/>
      <c r="E16" s="70"/>
      <c r="F16" s="72"/>
      <c r="G16" s="72"/>
      <c r="H16" s="72"/>
      <c r="I16" s="72"/>
      <c r="J16" s="72"/>
      <c r="K16" s="72"/>
      <c r="L16" s="72"/>
      <c r="M16" s="72"/>
      <c r="N16" s="72"/>
    </row>
    <row r="17" spans="1:14" ht="29.7">
      <c r="A17" s="264" t="s">
        <v>355</v>
      </c>
      <c r="B17" s="264"/>
      <c r="C17" s="44">
        <v>253</v>
      </c>
      <c r="D17" s="45"/>
      <c r="E17" s="263">
        <v>50</v>
      </c>
      <c r="F17" s="309">
        <f t="shared" ref="F17:F21" si="1">SUM(G17:M17)</f>
        <v>50</v>
      </c>
      <c r="G17" s="310">
        <v>0</v>
      </c>
      <c r="H17" s="310">
        <v>0</v>
      </c>
      <c r="I17" s="310">
        <v>0</v>
      </c>
      <c r="J17" s="310">
        <v>0</v>
      </c>
      <c r="K17" s="310">
        <v>50</v>
      </c>
      <c r="L17" s="310">
        <v>0</v>
      </c>
      <c r="M17" s="311">
        <v>0</v>
      </c>
      <c r="N17" s="374" t="s">
        <v>890</v>
      </c>
    </row>
    <row r="18" spans="1:14">
      <c r="A18" s="264" t="s">
        <v>355</v>
      </c>
      <c r="B18" s="264"/>
      <c r="C18" s="44">
        <v>253</v>
      </c>
      <c r="D18" s="45"/>
      <c r="E18" s="263">
        <v>0</v>
      </c>
      <c r="F18" s="309">
        <f t="shared" si="1"/>
        <v>0</v>
      </c>
      <c r="G18" s="310">
        <v>0</v>
      </c>
      <c r="H18" s="310">
        <v>0</v>
      </c>
      <c r="I18" s="310">
        <v>0</v>
      </c>
      <c r="J18" s="310">
        <v>0</v>
      </c>
      <c r="K18" s="310">
        <v>0</v>
      </c>
      <c r="L18" s="310">
        <v>0</v>
      </c>
      <c r="M18" s="311">
        <v>0</v>
      </c>
      <c r="N18" s="326"/>
    </row>
    <row r="19" spans="1:14">
      <c r="A19" s="264" t="s">
        <v>355</v>
      </c>
      <c r="B19" s="264"/>
      <c r="C19" s="44">
        <v>253</v>
      </c>
      <c r="D19" s="267"/>
      <c r="E19" s="263">
        <v>0</v>
      </c>
      <c r="F19" s="309">
        <f t="shared" si="1"/>
        <v>0</v>
      </c>
      <c r="G19" s="310">
        <v>0</v>
      </c>
      <c r="H19" s="310">
        <v>0</v>
      </c>
      <c r="I19" s="310">
        <v>0</v>
      </c>
      <c r="J19" s="310">
        <v>0</v>
      </c>
      <c r="K19" s="310">
        <v>0</v>
      </c>
      <c r="L19" s="310">
        <v>0</v>
      </c>
      <c r="M19" s="311">
        <v>0</v>
      </c>
      <c r="N19" s="355"/>
    </row>
    <row r="20" spans="1:14" s="7" customFormat="1">
      <c r="A20" s="264" t="s">
        <v>355</v>
      </c>
      <c r="B20" s="264"/>
      <c r="C20" s="44">
        <v>253</v>
      </c>
      <c r="D20" s="267"/>
      <c r="E20" s="263">
        <v>0</v>
      </c>
      <c r="F20" s="309">
        <f t="shared" si="1"/>
        <v>0</v>
      </c>
      <c r="G20" s="310">
        <v>0</v>
      </c>
      <c r="H20" s="310">
        <v>0</v>
      </c>
      <c r="I20" s="310">
        <v>0</v>
      </c>
      <c r="J20" s="310">
        <v>0</v>
      </c>
      <c r="K20" s="310">
        <v>0</v>
      </c>
      <c r="L20" s="310">
        <v>0</v>
      </c>
      <c r="M20" s="311">
        <v>0</v>
      </c>
      <c r="N20" s="326"/>
    </row>
    <row r="21" spans="1:14">
      <c r="A21" s="40" t="s">
        <v>294</v>
      </c>
      <c r="B21" s="265"/>
      <c r="C21" s="266"/>
      <c r="D21" s="267">
        <f>SUM(D17:D20)</f>
        <v>0</v>
      </c>
      <c r="E21" s="42">
        <f>SUM(E17:E20)</f>
        <v>50</v>
      </c>
      <c r="F21" s="309">
        <f t="shared" si="1"/>
        <v>50</v>
      </c>
      <c r="G21" s="43">
        <f t="shared" ref="G21:M21" si="2">SUM(G17:G20)</f>
        <v>0</v>
      </c>
      <c r="H21" s="43">
        <f t="shared" si="2"/>
        <v>0</v>
      </c>
      <c r="I21" s="43">
        <f t="shared" si="2"/>
        <v>0</v>
      </c>
      <c r="J21" s="43">
        <f t="shared" si="2"/>
        <v>0</v>
      </c>
      <c r="K21" s="43">
        <f t="shared" si="2"/>
        <v>50</v>
      </c>
      <c r="L21" s="43">
        <f t="shared" si="2"/>
        <v>0</v>
      </c>
      <c r="M21" s="43">
        <f t="shared" si="2"/>
        <v>0</v>
      </c>
      <c r="N21" s="355"/>
    </row>
    <row r="22" spans="1:14" s="7" customFormat="1">
      <c r="A22" s="127" t="s">
        <v>295</v>
      </c>
      <c r="B22" s="128"/>
      <c r="C22" s="128"/>
      <c r="D22" s="128"/>
      <c r="E22" s="89"/>
      <c r="F22" s="89"/>
      <c r="G22" s="89"/>
      <c r="H22" s="89"/>
      <c r="I22" s="89"/>
      <c r="J22" s="89"/>
      <c r="K22" s="89"/>
      <c r="L22" s="89"/>
      <c r="M22" s="89"/>
      <c r="N22" s="130"/>
    </row>
    <row r="23" spans="1:14" s="381" customFormat="1" ht="29.7">
      <c r="A23" s="264" t="s">
        <v>296</v>
      </c>
      <c r="B23" s="36"/>
      <c r="C23" s="37" t="s">
        <v>297</v>
      </c>
      <c r="D23" s="38">
        <v>0</v>
      </c>
      <c r="E23" s="263">
        <v>21</v>
      </c>
      <c r="F23" s="309">
        <f t="shared" ref="F23:F36" si="3">SUM(G23:M23)</f>
        <v>21</v>
      </c>
      <c r="G23" s="310">
        <v>0</v>
      </c>
      <c r="H23" s="310">
        <v>0</v>
      </c>
      <c r="I23" s="310">
        <v>0</v>
      </c>
      <c r="J23" s="310">
        <v>0</v>
      </c>
      <c r="K23" s="310">
        <v>21</v>
      </c>
      <c r="L23" s="310">
        <v>0</v>
      </c>
      <c r="M23" s="311">
        <v>0</v>
      </c>
      <c r="N23" s="327" t="s">
        <v>891</v>
      </c>
    </row>
    <row r="24" spans="1:14" s="381" customFormat="1">
      <c r="A24" s="264" t="s">
        <v>298</v>
      </c>
      <c r="B24" s="36"/>
      <c r="C24" s="44" t="s">
        <v>299</v>
      </c>
      <c r="D24" s="45"/>
      <c r="E24" s="263">
        <v>0</v>
      </c>
      <c r="F24" s="309">
        <f t="shared" si="3"/>
        <v>0</v>
      </c>
      <c r="G24" s="310">
        <v>0</v>
      </c>
      <c r="H24" s="310">
        <v>0</v>
      </c>
      <c r="I24" s="310">
        <v>0</v>
      </c>
      <c r="J24" s="310">
        <v>0</v>
      </c>
      <c r="K24" s="310">
        <v>0</v>
      </c>
      <c r="L24" s="310">
        <v>0</v>
      </c>
      <c r="M24" s="311">
        <v>0</v>
      </c>
      <c r="N24" s="355"/>
    </row>
    <row r="25" spans="1:14" s="381" customFormat="1">
      <c r="A25" s="264" t="s">
        <v>300</v>
      </c>
      <c r="B25" s="36"/>
      <c r="C25" s="44" t="s">
        <v>301</v>
      </c>
      <c r="D25" s="45"/>
      <c r="E25" s="263">
        <v>0</v>
      </c>
      <c r="F25" s="309">
        <f t="shared" si="3"/>
        <v>0</v>
      </c>
      <c r="G25" s="310">
        <v>0</v>
      </c>
      <c r="H25" s="310">
        <v>0</v>
      </c>
      <c r="I25" s="310">
        <v>0</v>
      </c>
      <c r="J25" s="310">
        <v>0</v>
      </c>
      <c r="K25" s="310">
        <v>0</v>
      </c>
      <c r="L25" s="310">
        <v>0</v>
      </c>
      <c r="M25" s="311">
        <v>0</v>
      </c>
      <c r="N25" s="355"/>
    </row>
    <row r="26" spans="1:14" s="381" customFormat="1">
      <c r="A26" s="264" t="s">
        <v>302</v>
      </c>
      <c r="B26" s="36"/>
      <c r="C26" s="44" t="s">
        <v>303</v>
      </c>
      <c r="D26" s="45"/>
      <c r="E26" s="263">
        <v>0</v>
      </c>
      <c r="F26" s="309">
        <f t="shared" si="3"/>
        <v>0</v>
      </c>
      <c r="G26" s="310">
        <v>0</v>
      </c>
      <c r="H26" s="310">
        <v>0</v>
      </c>
      <c r="I26" s="310">
        <v>0</v>
      </c>
      <c r="J26" s="310">
        <v>0</v>
      </c>
      <c r="K26" s="310">
        <v>0</v>
      </c>
      <c r="L26" s="310">
        <v>0</v>
      </c>
      <c r="M26" s="311">
        <v>0</v>
      </c>
      <c r="N26" s="355"/>
    </row>
    <row r="27" spans="1:14" s="381" customFormat="1">
      <c r="A27" s="264" t="s">
        <v>304</v>
      </c>
      <c r="B27" s="36"/>
      <c r="C27" s="44">
        <v>251</v>
      </c>
      <c r="D27" s="45"/>
      <c r="E27" s="263">
        <v>0</v>
      </c>
      <c r="F27" s="309">
        <f t="shared" si="3"/>
        <v>0</v>
      </c>
      <c r="G27" s="310">
        <v>0</v>
      </c>
      <c r="H27" s="310">
        <v>0</v>
      </c>
      <c r="I27" s="310">
        <v>0</v>
      </c>
      <c r="J27" s="310">
        <v>0</v>
      </c>
      <c r="K27" s="310">
        <v>0</v>
      </c>
      <c r="L27" s="310">
        <v>0</v>
      </c>
      <c r="M27" s="311">
        <v>0</v>
      </c>
      <c r="N27" s="355"/>
    </row>
    <row r="28" spans="1:14" s="381" customFormat="1" ht="44.55">
      <c r="A28" s="555" t="s">
        <v>892</v>
      </c>
      <c r="B28" s="57" t="s">
        <v>893</v>
      </c>
      <c r="C28" s="628">
        <v>252</v>
      </c>
      <c r="D28" s="45"/>
      <c r="E28" s="263">
        <v>400</v>
      </c>
      <c r="F28" s="309">
        <f>SUM(G28:M28)</f>
        <v>400</v>
      </c>
      <c r="G28" s="310">
        <v>0</v>
      </c>
      <c r="H28" s="310">
        <v>0</v>
      </c>
      <c r="I28" s="310">
        <v>0</v>
      </c>
      <c r="J28" s="310">
        <v>0</v>
      </c>
      <c r="K28" s="310">
        <v>400</v>
      </c>
      <c r="L28" s="310">
        <v>0</v>
      </c>
      <c r="M28" s="311">
        <v>0</v>
      </c>
      <c r="N28" s="385" t="s">
        <v>894</v>
      </c>
    </row>
    <row r="29" spans="1:14" s="381" customFormat="1" ht="103.95">
      <c r="A29" s="73" t="s">
        <v>895</v>
      </c>
      <c r="B29" s="382" t="s">
        <v>893</v>
      </c>
      <c r="C29" s="44">
        <v>252</v>
      </c>
      <c r="D29" s="45"/>
      <c r="E29" s="263">
        <v>1913</v>
      </c>
      <c r="F29" s="309">
        <f t="shared" si="3"/>
        <v>2230</v>
      </c>
      <c r="G29" s="310">
        <v>0</v>
      </c>
      <c r="H29" s="310">
        <v>0</v>
      </c>
      <c r="I29" s="310">
        <v>0</v>
      </c>
      <c r="J29" s="310">
        <v>0</v>
      </c>
      <c r="K29" s="310">
        <f>2035+195</f>
        <v>2230</v>
      </c>
      <c r="L29" s="310">
        <v>0</v>
      </c>
      <c r="M29" s="311">
        <v>0</v>
      </c>
      <c r="N29" s="325" t="s">
        <v>896</v>
      </c>
    </row>
    <row r="30" spans="1:14" s="381" customFormat="1" ht="38.6">
      <c r="A30" s="575" t="s">
        <v>897</v>
      </c>
      <c r="B30" s="169" t="s">
        <v>893</v>
      </c>
      <c r="C30" s="44">
        <v>252</v>
      </c>
      <c r="D30" s="45"/>
      <c r="E30" s="263">
        <v>140</v>
      </c>
      <c r="F30" s="309">
        <f t="shared" si="3"/>
        <v>0</v>
      </c>
      <c r="G30" s="310">
        <v>0</v>
      </c>
      <c r="H30" s="310">
        <v>0</v>
      </c>
      <c r="I30" s="310">
        <v>0</v>
      </c>
      <c r="J30" s="310">
        <v>0</v>
      </c>
      <c r="K30" s="310">
        <v>0</v>
      </c>
      <c r="L30" s="310">
        <v>0</v>
      </c>
      <c r="M30" s="311">
        <v>0</v>
      </c>
      <c r="N30" s="325" t="s">
        <v>898</v>
      </c>
    </row>
    <row r="31" spans="1:14" s="381" customFormat="1" ht="44.55">
      <c r="A31" s="264" t="s">
        <v>314</v>
      </c>
      <c r="B31" s="36"/>
      <c r="C31" s="44">
        <v>252</v>
      </c>
      <c r="D31" s="45"/>
      <c r="E31" s="263">
        <v>10</v>
      </c>
      <c r="F31" s="309">
        <f t="shared" si="3"/>
        <v>10</v>
      </c>
      <c r="G31" s="310">
        <v>0</v>
      </c>
      <c r="H31" s="310">
        <v>0</v>
      </c>
      <c r="I31" s="310">
        <v>0</v>
      </c>
      <c r="J31" s="310">
        <v>0</v>
      </c>
      <c r="K31" s="310">
        <v>10</v>
      </c>
      <c r="L31" s="310">
        <v>0</v>
      </c>
      <c r="M31" s="311">
        <v>0</v>
      </c>
      <c r="N31" s="636" t="s">
        <v>899</v>
      </c>
    </row>
    <row r="32" spans="1:14" s="381" customFormat="1">
      <c r="A32" s="264" t="s">
        <v>315</v>
      </c>
      <c r="B32" s="36"/>
      <c r="C32" s="44">
        <v>253</v>
      </c>
      <c r="D32" s="264"/>
      <c r="E32" s="263">
        <v>0</v>
      </c>
      <c r="F32" s="309">
        <f t="shared" si="3"/>
        <v>0</v>
      </c>
      <c r="G32" s="310">
        <v>0</v>
      </c>
      <c r="H32" s="310">
        <v>0</v>
      </c>
      <c r="I32" s="310">
        <v>0</v>
      </c>
      <c r="J32" s="310">
        <v>0</v>
      </c>
      <c r="K32" s="310">
        <v>0</v>
      </c>
      <c r="L32" s="310">
        <v>0</v>
      </c>
      <c r="M32" s="311">
        <v>0</v>
      </c>
      <c r="N32" s="355"/>
    </row>
    <row r="33" spans="1:14" s="381" customFormat="1">
      <c r="A33" s="264" t="s">
        <v>316</v>
      </c>
      <c r="B33" s="36"/>
      <c r="C33" s="44">
        <v>255</v>
      </c>
      <c r="D33" s="264"/>
      <c r="E33" s="263">
        <v>0</v>
      </c>
      <c r="F33" s="309">
        <f t="shared" si="3"/>
        <v>0</v>
      </c>
      <c r="G33" s="310">
        <v>0</v>
      </c>
      <c r="H33" s="310">
        <v>0</v>
      </c>
      <c r="I33" s="310">
        <v>0</v>
      </c>
      <c r="J33" s="310">
        <v>0</v>
      </c>
      <c r="K33" s="310">
        <v>0</v>
      </c>
      <c r="L33" s="310">
        <v>0</v>
      </c>
      <c r="M33" s="311">
        <v>0</v>
      </c>
      <c r="N33" s="355"/>
    </row>
    <row r="34" spans="1:14" s="381" customFormat="1">
      <c r="A34" s="264" t="s">
        <v>317</v>
      </c>
      <c r="B34" s="36"/>
      <c r="C34" s="44">
        <v>256</v>
      </c>
      <c r="D34" s="264"/>
      <c r="E34" s="263">
        <v>0</v>
      </c>
      <c r="F34" s="309">
        <f t="shared" si="3"/>
        <v>0</v>
      </c>
      <c r="G34" s="310">
        <v>0</v>
      </c>
      <c r="H34" s="310">
        <v>0</v>
      </c>
      <c r="I34" s="310">
        <v>0</v>
      </c>
      <c r="J34" s="310">
        <v>0</v>
      </c>
      <c r="K34" s="310">
        <v>0</v>
      </c>
      <c r="L34" s="310">
        <v>0</v>
      </c>
      <c r="M34" s="311">
        <v>0</v>
      </c>
      <c r="N34" s="355"/>
    </row>
    <row r="35" spans="1:14" s="381" customFormat="1">
      <c r="A35" s="264" t="s">
        <v>318</v>
      </c>
      <c r="B35" s="36"/>
      <c r="C35" s="44">
        <v>257</v>
      </c>
      <c r="D35" s="264"/>
      <c r="E35" s="263">
        <v>0</v>
      </c>
      <c r="F35" s="309">
        <f t="shared" si="3"/>
        <v>0</v>
      </c>
      <c r="G35" s="310">
        <v>0</v>
      </c>
      <c r="H35" s="310">
        <v>0</v>
      </c>
      <c r="I35" s="310">
        <v>0</v>
      </c>
      <c r="J35" s="310">
        <v>0</v>
      </c>
      <c r="K35" s="310">
        <v>0</v>
      </c>
      <c r="L35" s="310">
        <v>0</v>
      </c>
      <c r="M35" s="311">
        <v>0</v>
      </c>
      <c r="N35" s="355"/>
    </row>
    <row r="36" spans="1:14" s="381" customFormat="1">
      <c r="A36" s="264" t="s">
        <v>319</v>
      </c>
      <c r="B36" s="36"/>
      <c r="C36" s="44" t="s">
        <v>320</v>
      </c>
      <c r="D36" s="264"/>
      <c r="E36" s="263">
        <v>0</v>
      </c>
      <c r="F36" s="309">
        <f t="shared" si="3"/>
        <v>0</v>
      </c>
      <c r="G36" s="310">
        <v>0</v>
      </c>
      <c r="H36" s="310">
        <v>0</v>
      </c>
      <c r="I36" s="310">
        <v>0</v>
      </c>
      <c r="J36" s="310">
        <v>0</v>
      </c>
      <c r="K36" s="310">
        <v>0</v>
      </c>
      <c r="L36" s="310">
        <v>0</v>
      </c>
      <c r="M36" s="311">
        <v>0</v>
      </c>
      <c r="N36" s="355"/>
    </row>
    <row r="37" spans="1:14" s="381" customFormat="1">
      <c r="A37" s="265" t="s">
        <v>321</v>
      </c>
      <c r="B37" s="36"/>
      <c r="C37" s="266" t="s">
        <v>322</v>
      </c>
      <c r="D37" s="265"/>
      <c r="E37" s="263">
        <v>10</v>
      </c>
      <c r="F37" s="309">
        <f>SUM(G37:M37)</f>
        <v>10</v>
      </c>
      <c r="G37" s="310">
        <v>0</v>
      </c>
      <c r="H37" s="310">
        <v>0</v>
      </c>
      <c r="I37" s="310">
        <v>0</v>
      </c>
      <c r="J37" s="310">
        <v>0</v>
      </c>
      <c r="K37" s="310">
        <v>10</v>
      </c>
      <c r="L37" s="310">
        <v>0</v>
      </c>
      <c r="M37" s="311">
        <v>0</v>
      </c>
      <c r="N37" s="355"/>
    </row>
    <row r="38" spans="1:14" s="381" customFormat="1">
      <c r="A38" s="265" t="s">
        <v>323</v>
      </c>
      <c r="B38" s="390"/>
      <c r="C38" s="266" t="s">
        <v>324</v>
      </c>
      <c r="D38" s="265"/>
      <c r="E38" s="318">
        <v>0</v>
      </c>
      <c r="F38" s="309">
        <f>SUM(G38:M38)</f>
        <v>0</v>
      </c>
      <c r="G38" s="165">
        <v>0</v>
      </c>
      <c r="H38" s="165">
        <v>0</v>
      </c>
      <c r="I38" s="165">
        <v>0</v>
      </c>
      <c r="J38" s="165">
        <v>0</v>
      </c>
      <c r="K38" s="165">
        <v>0</v>
      </c>
      <c r="L38" s="165">
        <v>0</v>
      </c>
      <c r="M38" s="166">
        <v>0</v>
      </c>
      <c r="N38" s="325"/>
    </row>
    <row r="39" spans="1:14">
      <c r="A39" s="40" t="s">
        <v>326</v>
      </c>
      <c r="B39" s="265"/>
      <c r="C39" s="266"/>
      <c r="D39" s="247"/>
      <c r="E39" s="242">
        <f t="shared" ref="E39:M39" si="4">SUM(E23:E38)</f>
        <v>2494</v>
      </c>
      <c r="F39" s="243">
        <f t="shared" si="4"/>
        <v>2671</v>
      </c>
      <c r="G39" s="243">
        <f t="shared" si="4"/>
        <v>0</v>
      </c>
      <c r="H39" s="243">
        <f t="shared" si="4"/>
        <v>0</v>
      </c>
      <c r="I39" s="243">
        <f t="shared" si="4"/>
        <v>0</v>
      </c>
      <c r="J39" s="243">
        <f t="shared" si="4"/>
        <v>0</v>
      </c>
      <c r="K39" s="243">
        <f t="shared" si="4"/>
        <v>2671</v>
      </c>
      <c r="L39" s="243">
        <f t="shared" si="4"/>
        <v>0</v>
      </c>
      <c r="M39" s="243">
        <f t="shared" si="4"/>
        <v>0</v>
      </c>
      <c r="N39" s="355"/>
    </row>
    <row r="40" spans="1:14">
      <c r="A40" s="40" t="s">
        <v>327</v>
      </c>
      <c r="B40" s="51"/>
      <c r="C40" s="149"/>
      <c r="D40" s="247"/>
      <c r="E40" s="244"/>
      <c r="F40" s="245">
        <f>SUM(G40:L40)</f>
        <v>0</v>
      </c>
      <c r="G40" s="245">
        <v>0</v>
      </c>
      <c r="H40" s="245">
        <v>0</v>
      </c>
      <c r="I40" s="245">
        <v>0</v>
      </c>
      <c r="J40" s="245">
        <v>0</v>
      </c>
      <c r="K40" s="245">
        <v>0</v>
      </c>
      <c r="L40" s="245">
        <v>0</v>
      </c>
      <c r="M40" s="245">
        <v>0</v>
      </c>
      <c r="N40" s="325"/>
    </row>
    <row r="41" spans="1:14">
      <c r="A41" s="40" t="s">
        <v>328</v>
      </c>
      <c r="B41" s="46"/>
      <c r="C41" s="47"/>
      <c r="D41" s="48"/>
      <c r="E41" s="242">
        <f t="shared" ref="E41:M41" si="5">E39+E21+E15-E40</f>
        <v>2731</v>
      </c>
      <c r="F41" s="17">
        <f t="shared" si="5"/>
        <v>2913</v>
      </c>
      <c r="G41" s="17">
        <f t="shared" si="5"/>
        <v>0</v>
      </c>
      <c r="H41" s="17">
        <f t="shared" si="5"/>
        <v>0</v>
      </c>
      <c r="I41" s="17">
        <f t="shared" si="5"/>
        <v>0</v>
      </c>
      <c r="J41" s="17">
        <f t="shared" si="5"/>
        <v>0</v>
      </c>
      <c r="K41" s="17">
        <f t="shared" si="5"/>
        <v>2913</v>
      </c>
      <c r="L41" s="17">
        <f t="shared" si="5"/>
        <v>0</v>
      </c>
      <c r="M41" s="17">
        <f t="shared" si="5"/>
        <v>0</v>
      </c>
      <c r="N41" s="353"/>
    </row>
    <row r="42" spans="1:14">
      <c r="A42" s="381"/>
      <c r="B42" s="381"/>
      <c r="C42" s="687"/>
      <c r="D42" s="269" t="s">
        <v>391</v>
      </c>
      <c r="E42" s="317">
        <f>+E41-C45</f>
        <v>1434</v>
      </c>
      <c r="F42" s="317">
        <f>+F41-B45</f>
        <v>1693.7930000000001</v>
      </c>
      <c r="G42" s="381"/>
      <c r="H42" s="381"/>
      <c r="I42" s="381"/>
      <c r="J42" s="381"/>
      <c r="K42" s="381"/>
      <c r="L42" s="381"/>
      <c r="M42" s="381"/>
      <c r="N42" s="381"/>
    </row>
    <row r="43" spans="1:14" s="381" customFormat="1">
      <c r="A43" s="466" t="s">
        <v>783</v>
      </c>
      <c r="C43" s="687"/>
    </row>
    <row r="44" spans="1:14" s="381" customFormat="1">
      <c r="A44" s="56" t="s">
        <v>392</v>
      </c>
      <c r="B44" s="389" t="s">
        <v>393</v>
      </c>
      <c r="C44" s="31" t="s">
        <v>359</v>
      </c>
    </row>
    <row r="45" spans="1:14" s="381" customFormat="1">
      <c r="A45" s="57" t="s">
        <v>394</v>
      </c>
      <c r="B45" s="637">
        <f>1024+195.207</f>
        <v>1219.2069999999999</v>
      </c>
      <c r="C45" s="58">
        <v>1297</v>
      </c>
    </row>
    <row r="46" spans="1:14" s="381" customFormat="1">
      <c r="A46" s="555" t="s">
        <v>396</v>
      </c>
      <c r="B46" s="59">
        <v>0</v>
      </c>
      <c r="C46" s="59">
        <v>0</v>
      </c>
      <c r="D46" s="536"/>
    </row>
    <row r="47" spans="1:14" s="381" customFormat="1">
      <c r="A47" s="555" t="s">
        <v>900</v>
      </c>
      <c r="B47" s="638">
        <v>0</v>
      </c>
      <c r="C47" s="638">
        <v>475.5</v>
      </c>
      <c r="D47" s="381" t="s">
        <v>901</v>
      </c>
    </row>
    <row r="48" spans="1:14" s="381" customFormat="1">
      <c r="A48" s="60" t="s">
        <v>784</v>
      </c>
      <c r="B48" s="61">
        <f>B45-B46-B47</f>
        <v>1219.2069999999999</v>
      </c>
      <c r="C48" s="639">
        <f>+C45-C46-C47</f>
        <v>821.5</v>
      </c>
      <c r="D48" s="381" t="s">
        <v>902</v>
      </c>
    </row>
    <row r="49" spans="1:8" s="381" customFormat="1">
      <c r="C49" s="687"/>
      <c r="D49" s="421"/>
      <c r="E49" s="422"/>
      <c r="F49" s="422"/>
    </row>
    <row r="50" spans="1:8" s="381" customFormat="1">
      <c r="C50" s="687"/>
      <c r="F50" s="262"/>
    </row>
    <row r="51" spans="1:8" s="381" customFormat="1">
      <c r="A51" s="740" t="s">
        <v>331</v>
      </c>
      <c r="B51" s="741"/>
      <c r="C51" s="687"/>
    </row>
    <row r="52" spans="1:8" s="381" customFormat="1">
      <c r="A52" s="584" t="s">
        <v>480</v>
      </c>
      <c r="B52" s="585">
        <f>+E41</f>
        <v>2731</v>
      </c>
      <c r="C52" s="687"/>
    </row>
    <row r="53" spans="1:8" s="381" customFormat="1">
      <c r="A53" s="588" t="s">
        <v>481</v>
      </c>
      <c r="B53" s="589">
        <f>+F41</f>
        <v>2913</v>
      </c>
      <c r="C53" s="687"/>
    </row>
    <row r="54" spans="1:8" s="381" customFormat="1">
      <c r="A54" s="590" t="s">
        <v>334</v>
      </c>
      <c r="B54" s="591">
        <f>B53-B52</f>
        <v>182</v>
      </c>
      <c r="C54" s="687"/>
    </row>
    <row r="55" spans="1:8" s="381" customFormat="1">
      <c r="A55" s="590" t="s">
        <v>335</v>
      </c>
      <c r="B55" s="592">
        <f>B54/B52</f>
        <v>6.6642255584035151E-2</v>
      </c>
      <c r="C55" s="687"/>
    </row>
    <row r="56" spans="1:8" s="381" customFormat="1">
      <c r="A56" s="593"/>
      <c r="B56" s="587"/>
      <c r="C56" s="687"/>
      <c r="E56" s="262"/>
    </row>
    <row r="57" spans="1:8" s="381" customFormat="1" ht="15.6">
      <c r="A57" s="832" t="s">
        <v>903</v>
      </c>
      <c r="B57" s="832"/>
      <c r="C57" s="832"/>
      <c r="D57" s="832"/>
      <c r="E57" s="832"/>
      <c r="F57" s="832"/>
      <c r="G57" s="832"/>
      <c r="H57" s="832"/>
    </row>
    <row r="58" spans="1:8" s="381" customFormat="1">
      <c r="A58" s="830" t="s">
        <v>904</v>
      </c>
      <c r="B58" s="830"/>
      <c r="C58" s="830"/>
      <c r="D58" s="830"/>
      <c r="E58" s="830"/>
      <c r="F58" s="830"/>
      <c r="G58" s="830"/>
      <c r="H58" s="830"/>
    </row>
    <row r="59" spans="1:8" s="381" customFormat="1" ht="40.85" customHeight="1">
      <c r="A59" s="830" t="s">
        <v>905</v>
      </c>
      <c r="B59" s="830"/>
      <c r="C59" s="830"/>
      <c r="D59" s="830"/>
      <c r="E59" s="830"/>
      <c r="F59" s="830"/>
      <c r="G59" s="830"/>
      <c r="H59" s="830"/>
    </row>
    <row r="60" spans="1:8" s="381" customFormat="1">
      <c r="A60" s="831"/>
      <c r="B60" s="831"/>
      <c r="C60" s="831"/>
      <c r="D60" s="831"/>
      <c r="E60" s="831"/>
      <c r="F60" s="831"/>
      <c r="G60" s="831"/>
      <c r="H60" s="831"/>
    </row>
    <row r="61" spans="1:8" s="381" customFormat="1">
      <c r="A61" s="830" t="s">
        <v>906</v>
      </c>
      <c r="B61" s="830"/>
      <c r="C61" s="830"/>
      <c r="D61" s="830"/>
      <c r="E61" s="830"/>
      <c r="F61" s="830"/>
      <c r="G61" s="830"/>
      <c r="H61" s="830"/>
    </row>
    <row r="62" spans="1:8" s="381" customFormat="1" ht="82.8" customHeight="1">
      <c r="A62" s="830" t="s">
        <v>907</v>
      </c>
      <c r="B62" s="830"/>
      <c r="C62" s="830"/>
      <c r="D62" s="830"/>
      <c r="E62" s="830"/>
      <c r="F62" s="830"/>
      <c r="G62" s="830"/>
      <c r="H62" s="830"/>
    </row>
    <row r="63" spans="1:8" s="381" customFormat="1">
      <c r="A63" s="831"/>
      <c r="B63" s="831"/>
      <c r="C63" s="831"/>
      <c r="D63" s="831"/>
      <c r="E63" s="831"/>
      <c r="F63" s="831"/>
      <c r="G63" s="831"/>
      <c r="H63" s="831"/>
    </row>
    <row r="64" spans="1:8" s="381" customFormat="1">
      <c r="A64" s="830" t="s">
        <v>908</v>
      </c>
      <c r="B64" s="830"/>
      <c r="C64" s="830"/>
      <c r="D64" s="830"/>
      <c r="E64" s="830"/>
      <c r="F64" s="830"/>
      <c r="G64" s="830"/>
      <c r="H64" s="830"/>
    </row>
    <row r="65" spans="1:8" s="381" customFormat="1" ht="41.6" customHeight="1">
      <c r="A65" s="830" t="s">
        <v>909</v>
      </c>
      <c r="B65" s="830"/>
      <c r="C65" s="830"/>
      <c r="D65" s="830"/>
      <c r="E65" s="830"/>
      <c r="F65" s="830"/>
      <c r="G65" s="830"/>
      <c r="H65" s="830"/>
    </row>
    <row r="66" spans="1:8" s="381" customFormat="1">
      <c r="A66" s="831" t="s">
        <v>910</v>
      </c>
      <c r="B66" s="831"/>
      <c r="C66" s="831"/>
      <c r="D66" s="831"/>
      <c r="E66" s="831"/>
      <c r="F66" s="831"/>
      <c r="G66" s="831"/>
      <c r="H66" s="831"/>
    </row>
    <row r="67" spans="1:8" s="381" customFormat="1">
      <c r="A67" s="830" t="s">
        <v>911</v>
      </c>
      <c r="B67" s="830"/>
      <c r="C67" s="830"/>
      <c r="D67" s="830"/>
      <c r="E67" s="830"/>
      <c r="F67" s="830"/>
      <c r="G67" s="830"/>
      <c r="H67" s="830"/>
    </row>
    <row r="68" spans="1:8" s="381" customFormat="1" ht="37.85" customHeight="1">
      <c r="A68" s="830" t="s">
        <v>912</v>
      </c>
      <c r="B68" s="830"/>
      <c r="C68" s="830"/>
      <c r="D68" s="830"/>
      <c r="E68" s="830"/>
      <c r="F68" s="830"/>
      <c r="G68" s="830"/>
      <c r="H68" s="830"/>
    </row>
    <row r="69" spans="1:8" s="381" customFormat="1">
      <c r="C69" s="687"/>
    </row>
    <row r="70" spans="1:8" s="381" customFormat="1">
      <c r="C70" s="687"/>
    </row>
    <row r="71" spans="1:8" s="381" customFormat="1">
      <c r="C71" s="687"/>
    </row>
  </sheetData>
  <mergeCells count="14">
    <mergeCell ref="A1:N1"/>
    <mergeCell ref="A51:B51"/>
    <mergeCell ref="A57:H57"/>
    <mergeCell ref="A58:H58"/>
    <mergeCell ref="A59:H59"/>
    <mergeCell ref="A65:H65"/>
    <mergeCell ref="A66:H66"/>
    <mergeCell ref="A67:H67"/>
    <mergeCell ref="A68:H68"/>
    <mergeCell ref="A60:H60"/>
    <mergeCell ref="A61:H61"/>
    <mergeCell ref="A62:H62"/>
    <mergeCell ref="A63:H63"/>
    <mergeCell ref="A64:H64"/>
  </mergeCells>
  <printOptions horizontalCentered="1"/>
  <pageMargins left="0.2" right="0.2" top="0.5" bottom="0.5" header="0.3" footer="0.3"/>
  <pageSetup scale="66" fitToHeight="0" orientation="landscape" r:id="rId1"/>
  <headerFooter>
    <oddHeader xml:space="preserve">&amp;CDRAFT NOT FOR DISTRIBUTION, INTERNAL USE ONLY
</oddHead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2" tint="-0.249977111117893"/>
    <pageSetUpPr fitToPage="1"/>
  </sheetPr>
  <dimension ref="A1:N72"/>
  <sheetViews>
    <sheetView zoomScaleNormal="100" workbookViewId="0">
      <selection sqref="A1:N1"/>
    </sheetView>
  </sheetViews>
  <sheetFormatPr defaultColWidth="9.140625" defaultRowHeight="14.85"/>
  <cols>
    <col min="1" max="1" width="47.28515625" style="151" customWidth="1"/>
    <col min="2" max="2" width="16" style="151" customWidth="1"/>
    <col min="3" max="3" width="7.7109375" style="152" customWidth="1"/>
    <col min="4" max="4" width="8.7109375" style="151" customWidth="1"/>
    <col min="5" max="5" width="10.7109375" style="151" customWidth="1"/>
    <col min="6" max="6" width="11" style="151" customWidth="1"/>
    <col min="7" max="7" width="9.5703125" style="151" customWidth="1"/>
    <col min="8" max="8" width="8.42578125" style="151" customWidth="1"/>
    <col min="9" max="10" width="7.140625" style="151" customWidth="1"/>
    <col min="11" max="11" width="7.7109375" style="151" customWidth="1"/>
    <col min="12" max="12" width="9.7109375" style="151" customWidth="1"/>
    <col min="13" max="13" width="9.140625" style="151" customWidth="1"/>
    <col min="14" max="14" width="31.140625" style="151" customWidth="1"/>
    <col min="15" max="16384" width="9.140625" style="151"/>
  </cols>
  <sheetData>
    <row r="1" spans="1:14" ht="15.6">
      <c r="A1" s="745" t="s">
        <v>227</v>
      </c>
      <c r="B1" s="745"/>
      <c r="C1" s="745"/>
      <c r="D1" s="745"/>
      <c r="E1" s="745"/>
      <c r="F1" s="745"/>
      <c r="G1" s="745"/>
      <c r="H1" s="745"/>
      <c r="I1" s="745"/>
      <c r="J1" s="745"/>
      <c r="K1" s="745"/>
      <c r="L1" s="745"/>
      <c r="M1" s="745"/>
      <c r="N1" s="745"/>
    </row>
    <row r="2" spans="1:14">
      <c r="A2" s="65" t="s">
        <v>913</v>
      </c>
      <c r="B2" s="381"/>
      <c r="C2" s="687"/>
      <c r="D2" s="381"/>
      <c r="E2" s="381"/>
      <c r="F2" s="381"/>
      <c r="G2" s="381"/>
      <c r="H2" s="381"/>
      <c r="I2" s="381"/>
      <c r="J2" s="381"/>
      <c r="K2" s="381"/>
      <c r="L2" s="381"/>
      <c r="M2" s="381"/>
      <c r="N2" s="381"/>
    </row>
    <row r="3" spans="1:14">
      <c r="A3" s="68" t="s">
        <v>914</v>
      </c>
      <c r="B3" s="381"/>
      <c r="C3" s="687"/>
      <c r="D3" s="29"/>
      <c r="E3" s="29"/>
      <c r="F3" s="554" t="s">
        <v>275</v>
      </c>
      <c r="G3" s="29"/>
      <c r="H3" s="29"/>
      <c r="I3" s="29"/>
      <c r="J3" s="29"/>
      <c r="K3" s="29"/>
      <c r="L3" s="29"/>
      <c r="M3" s="381"/>
      <c r="N3" s="381"/>
    </row>
    <row r="4" spans="1:14">
      <c r="A4" s="65" t="s">
        <v>276</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c r="A7" s="36" t="s">
        <v>286</v>
      </c>
      <c r="B7" s="36"/>
      <c r="C7" s="37" t="s">
        <v>287</v>
      </c>
      <c r="D7" s="38"/>
      <c r="E7" s="263">
        <v>0</v>
      </c>
      <c r="F7" s="309">
        <f t="shared" ref="F7:F12" si="0">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si="0"/>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c r="A10" s="36" t="s">
        <v>286</v>
      </c>
      <c r="B10" s="264"/>
      <c r="C10" s="37" t="s">
        <v>287</v>
      </c>
      <c r="D10" s="39"/>
      <c r="E10" s="263">
        <v>0</v>
      </c>
      <c r="F10" s="309">
        <f t="shared" si="0"/>
        <v>0</v>
      </c>
      <c r="G10" s="310">
        <v>0</v>
      </c>
      <c r="H10" s="310">
        <v>0</v>
      </c>
      <c r="I10" s="310">
        <v>0</v>
      </c>
      <c r="J10" s="310">
        <v>0</v>
      </c>
      <c r="K10" s="310">
        <v>0</v>
      </c>
      <c r="L10" s="310">
        <v>0</v>
      </c>
      <c r="M10" s="311">
        <v>0</v>
      </c>
      <c r="N10" s="355"/>
    </row>
    <row r="11" spans="1:14">
      <c r="A11" s="36" t="s">
        <v>286</v>
      </c>
      <c r="B11" s="264"/>
      <c r="C11" s="37" t="s">
        <v>287</v>
      </c>
      <c r="D11" s="39"/>
      <c r="E11" s="263">
        <v>0</v>
      </c>
      <c r="F11" s="309">
        <f t="shared" si="0"/>
        <v>0</v>
      </c>
      <c r="G11" s="310">
        <v>0</v>
      </c>
      <c r="H11" s="310">
        <v>0</v>
      </c>
      <c r="I11" s="310">
        <v>0</v>
      </c>
      <c r="J11" s="310">
        <v>0</v>
      </c>
      <c r="K11" s="310">
        <v>0</v>
      </c>
      <c r="L11" s="310">
        <v>0</v>
      </c>
      <c r="M11" s="311">
        <v>0</v>
      </c>
      <c r="N11" s="355"/>
    </row>
    <row r="12" spans="1:14">
      <c r="A12" s="36" t="s">
        <v>286</v>
      </c>
      <c r="B12" s="265"/>
      <c r="C12" s="37" t="s">
        <v>287</v>
      </c>
      <c r="D12" s="39"/>
      <c r="E12" s="263">
        <v>0</v>
      </c>
      <c r="F12" s="309">
        <f t="shared" si="0"/>
        <v>0</v>
      </c>
      <c r="G12" s="310">
        <v>0</v>
      </c>
      <c r="H12" s="310">
        <v>0</v>
      </c>
      <c r="I12" s="310">
        <v>0</v>
      </c>
      <c r="J12" s="310">
        <v>0</v>
      </c>
      <c r="K12" s="310">
        <v>0</v>
      </c>
      <c r="L12" s="310">
        <v>0</v>
      </c>
      <c r="M12" s="311">
        <v>0</v>
      </c>
      <c r="N12" s="355"/>
    </row>
    <row r="13" spans="1:14">
      <c r="A13" s="40" t="s">
        <v>288</v>
      </c>
      <c r="B13" s="265"/>
      <c r="C13" s="266"/>
      <c r="D13" s="41">
        <f t="shared" ref="D13:M13" si="1">SUM(D7:D12)</f>
        <v>0</v>
      </c>
      <c r="E13" s="42">
        <f t="shared" si="1"/>
        <v>0</v>
      </c>
      <c r="F13" s="43">
        <f t="shared" si="1"/>
        <v>0</v>
      </c>
      <c r="G13" s="43">
        <f t="shared" si="1"/>
        <v>0</v>
      </c>
      <c r="H13" s="43">
        <f t="shared" si="1"/>
        <v>0</v>
      </c>
      <c r="I13" s="43">
        <f t="shared" si="1"/>
        <v>0</v>
      </c>
      <c r="J13" s="43">
        <f t="shared" si="1"/>
        <v>0</v>
      </c>
      <c r="K13" s="43">
        <f t="shared" si="1"/>
        <v>0</v>
      </c>
      <c r="L13" s="43">
        <f t="shared" si="1"/>
        <v>0</v>
      </c>
      <c r="M13" s="43">
        <f t="shared" si="1"/>
        <v>0</v>
      </c>
      <c r="N13" s="355"/>
    </row>
    <row r="14" spans="1:14">
      <c r="A14" s="127" t="s">
        <v>289</v>
      </c>
      <c r="B14" s="128"/>
      <c r="C14" s="129"/>
      <c r="D14" s="128"/>
      <c r="E14" s="128"/>
      <c r="F14" s="89"/>
      <c r="G14" s="89"/>
      <c r="H14" s="89"/>
      <c r="I14" s="89"/>
      <c r="J14" s="89"/>
      <c r="K14" s="89"/>
      <c r="L14" s="89"/>
      <c r="M14" s="89"/>
      <c r="N14" s="89"/>
    </row>
    <row r="15" spans="1:14">
      <c r="A15" s="264" t="s">
        <v>290</v>
      </c>
      <c r="B15" s="264"/>
      <c r="C15" s="44">
        <v>253</v>
      </c>
      <c r="D15" s="45"/>
      <c r="E15" s="263">
        <v>0</v>
      </c>
      <c r="F15" s="357">
        <f>SUM(G15:M15)</f>
        <v>0</v>
      </c>
      <c r="G15" s="310">
        <v>0</v>
      </c>
      <c r="H15" s="310">
        <v>0</v>
      </c>
      <c r="I15" s="310">
        <v>0</v>
      </c>
      <c r="J15" s="310">
        <v>0</v>
      </c>
      <c r="K15" s="310"/>
      <c r="L15" s="310"/>
      <c r="M15" s="311">
        <v>0</v>
      </c>
      <c r="N15" s="326"/>
    </row>
    <row r="16" spans="1:14">
      <c r="A16" s="264" t="s">
        <v>291</v>
      </c>
      <c r="B16" s="264"/>
      <c r="C16" s="44">
        <v>253</v>
      </c>
      <c r="D16" s="45"/>
      <c r="E16" s="263">
        <v>0</v>
      </c>
      <c r="F16" s="357">
        <f>SUM(G16:M16)</f>
        <v>0</v>
      </c>
      <c r="G16" s="310">
        <v>0</v>
      </c>
      <c r="H16" s="310">
        <v>0</v>
      </c>
      <c r="I16" s="310">
        <v>0</v>
      </c>
      <c r="J16" s="310">
        <v>0</v>
      </c>
      <c r="K16" s="310"/>
      <c r="L16" s="310"/>
      <c r="M16" s="311">
        <v>0</v>
      </c>
      <c r="N16" s="326"/>
    </row>
    <row r="17" spans="1:14">
      <c r="A17" s="264" t="s">
        <v>291</v>
      </c>
      <c r="B17" s="264"/>
      <c r="C17" s="44">
        <v>253</v>
      </c>
      <c r="D17" s="267"/>
      <c r="E17" s="263">
        <v>0</v>
      </c>
      <c r="F17" s="357">
        <f>SUM(G17:M17)</f>
        <v>0</v>
      </c>
      <c r="G17" s="310">
        <v>0</v>
      </c>
      <c r="H17" s="310">
        <v>0</v>
      </c>
      <c r="I17" s="310">
        <v>0</v>
      </c>
      <c r="J17" s="310">
        <v>0</v>
      </c>
      <c r="K17" s="310"/>
      <c r="L17" s="310"/>
      <c r="M17" s="311">
        <v>0</v>
      </c>
      <c r="N17" s="355"/>
    </row>
    <row r="18" spans="1:14">
      <c r="A18" s="264" t="s">
        <v>291</v>
      </c>
      <c r="B18" s="264"/>
      <c r="C18" s="44">
        <v>253</v>
      </c>
      <c r="D18" s="267"/>
      <c r="E18" s="263">
        <v>0</v>
      </c>
      <c r="F18" s="357">
        <f>SUM(G18:M18)</f>
        <v>0</v>
      </c>
      <c r="G18" s="310">
        <v>0</v>
      </c>
      <c r="H18" s="310">
        <v>0</v>
      </c>
      <c r="I18" s="310">
        <v>0</v>
      </c>
      <c r="J18" s="310">
        <v>0</v>
      </c>
      <c r="K18" s="310"/>
      <c r="L18" s="310"/>
      <c r="M18" s="311">
        <v>0</v>
      </c>
      <c r="N18" s="325"/>
    </row>
    <row r="19" spans="1:14">
      <c r="A19" s="264" t="s">
        <v>291</v>
      </c>
      <c r="B19" s="264"/>
      <c r="C19" s="44">
        <v>253</v>
      </c>
      <c r="D19" s="267"/>
      <c r="E19" s="263">
        <v>0</v>
      </c>
      <c r="F19" s="357">
        <f>SUM(G19:M19)</f>
        <v>0</v>
      </c>
      <c r="G19" s="310">
        <v>0</v>
      </c>
      <c r="H19" s="310">
        <v>0</v>
      </c>
      <c r="I19" s="310">
        <v>0</v>
      </c>
      <c r="J19" s="310">
        <v>0</v>
      </c>
      <c r="K19" s="310"/>
      <c r="L19" s="310"/>
      <c r="M19" s="311">
        <v>0</v>
      </c>
      <c r="N19" s="355"/>
    </row>
    <row r="20" spans="1:14">
      <c r="A20" s="40" t="s">
        <v>294</v>
      </c>
      <c r="B20" s="265"/>
      <c r="C20" s="266"/>
      <c r="D20" s="267">
        <f t="shared" ref="D20:M20" si="2">SUM(D15:D19)</f>
        <v>0</v>
      </c>
      <c r="E20" s="42">
        <f t="shared" si="2"/>
        <v>0</v>
      </c>
      <c r="F20" s="43">
        <f t="shared" si="2"/>
        <v>0</v>
      </c>
      <c r="G20" s="43">
        <f t="shared" si="2"/>
        <v>0</v>
      </c>
      <c r="H20" s="43">
        <f t="shared" si="2"/>
        <v>0</v>
      </c>
      <c r="I20" s="43">
        <f t="shared" si="2"/>
        <v>0</v>
      </c>
      <c r="J20" s="43">
        <f t="shared" si="2"/>
        <v>0</v>
      </c>
      <c r="K20" s="43">
        <f t="shared" si="2"/>
        <v>0</v>
      </c>
      <c r="L20" s="43">
        <f t="shared" si="2"/>
        <v>0</v>
      </c>
      <c r="M20" s="43">
        <f t="shared" si="2"/>
        <v>0</v>
      </c>
      <c r="N20" s="355"/>
    </row>
    <row r="21" spans="1:14" s="7" customFormat="1">
      <c r="A21" s="127" t="s">
        <v>295</v>
      </c>
      <c r="B21" s="128"/>
      <c r="C21" s="129"/>
      <c r="D21" s="128"/>
      <c r="E21" s="128"/>
      <c r="F21" s="89"/>
      <c r="G21" s="89"/>
      <c r="H21" s="89"/>
      <c r="I21" s="89"/>
      <c r="J21" s="89"/>
      <c r="K21" s="89"/>
      <c r="L21" s="89"/>
      <c r="M21" s="89"/>
      <c r="N21" s="89"/>
    </row>
    <row r="22" spans="1:14" ht="15.05" customHeight="1">
      <c r="A22" s="264" t="s">
        <v>296</v>
      </c>
      <c r="B22" s="36"/>
      <c r="C22" s="37" t="s">
        <v>297</v>
      </c>
      <c r="D22" s="38">
        <v>0</v>
      </c>
      <c r="E22" s="263">
        <v>0</v>
      </c>
      <c r="F22" s="309">
        <f t="shared" ref="F22:F34" si="3">SUM(G22:M22)</f>
        <v>0</v>
      </c>
      <c r="G22" s="310">
        <v>0</v>
      </c>
      <c r="H22" s="310">
        <v>0</v>
      </c>
      <c r="I22" s="310">
        <v>0</v>
      </c>
      <c r="J22" s="310">
        <v>0</v>
      </c>
      <c r="K22" s="310">
        <v>0</v>
      </c>
      <c r="L22" s="310">
        <v>0</v>
      </c>
      <c r="M22" s="311">
        <v>0</v>
      </c>
      <c r="N22" s="355"/>
    </row>
    <row r="23" spans="1:14">
      <c r="A23" s="264" t="s">
        <v>298</v>
      </c>
      <c r="B23" s="36"/>
      <c r="C23" s="44" t="s">
        <v>299</v>
      </c>
      <c r="D23" s="45"/>
      <c r="E23" s="263">
        <v>0</v>
      </c>
      <c r="F23" s="309">
        <f t="shared" si="3"/>
        <v>0</v>
      </c>
      <c r="G23" s="310">
        <v>0</v>
      </c>
      <c r="H23" s="310">
        <v>0</v>
      </c>
      <c r="I23" s="310">
        <v>0</v>
      </c>
      <c r="J23" s="310">
        <v>0</v>
      </c>
      <c r="K23" s="310">
        <v>0</v>
      </c>
      <c r="L23" s="310">
        <v>0</v>
      </c>
      <c r="M23" s="311">
        <v>0</v>
      </c>
      <c r="N23" s="355"/>
    </row>
    <row r="24" spans="1:14">
      <c r="A24" s="264" t="s">
        <v>300</v>
      </c>
      <c r="B24" s="36"/>
      <c r="C24" s="44" t="s">
        <v>301</v>
      </c>
      <c r="D24" s="45"/>
      <c r="E24" s="263">
        <v>0</v>
      </c>
      <c r="F24" s="309">
        <f t="shared" si="3"/>
        <v>0</v>
      </c>
      <c r="G24" s="310">
        <v>0</v>
      </c>
      <c r="H24" s="310">
        <v>0</v>
      </c>
      <c r="I24" s="310">
        <v>0</v>
      </c>
      <c r="J24" s="310">
        <v>0</v>
      </c>
      <c r="K24" s="310">
        <v>0</v>
      </c>
      <c r="L24" s="310">
        <v>0</v>
      </c>
      <c r="M24" s="311">
        <v>0</v>
      </c>
      <c r="N24" s="325"/>
    </row>
    <row r="25" spans="1:14">
      <c r="A25" s="264" t="s">
        <v>302</v>
      </c>
      <c r="B25" s="36"/>
      <c r="C25" s="44" t="s">
        <v>303</v>
      </c>
      <c r="D25" s="45"/>
      <c r="E25" s="263">
        <v>0</v>
      </c>
      <c r="F25" s="309">
        <f t="shared" si="3"/>
        <v>0</v>
      </c>
      <c r="G25" s="310">
        <v>0</v>
      </c>
      <c r="H25" s="310">
        <v>0</v>
      </c>
      <c r="I25" s="310">
        <v>0</v>
      </c>
      <c r="J25" s="310">
        <v>0</v>
      </c>
      <c r="K25" s="310">
        <v>0</v>
      </c>
      <c r="L25" s="310">
        <v>0</v>
      </c>
      <c r="M25" s="311">
        <v>0</v>
      </c>
      <c r="N25" s="355"/>
    </row>
    <row r="26" spans="1:14">
      <c r="A26" s="264" t="s">
        <v>304</v>
      </c>
      <c r="B26" s="36"/>
      <c r="C26" s="44">
        <v>251</v>
      </c>
      <c r="D26" s="45"/>
      <c r="E26" s="263">
        <v>0</v>
      </c>
      <c r="F26" s="309">
        <f t="shared" si="3"/>
        <v>0</v>
      </c>
      <c r="G26" s="310">
        <v>0</v>
      </c>
      <c r="H26" s="310">
        <v>0</v>
      </c>
      <c r="I26" s="310">
        <v>0</v>
      </c>
      <c r="J26" s="310">
        <v>0</v>
      </c>
      <c r="K26" s="310">
        <v>0</v>
      </c>
      <c r="L26" s="310">
        <v>0</v>
      </c>
      <c r="M26" s="311">
        <v>0</v>
      </c>
      <c r="N26" s="355"/>
    </row>
    <row r="27" spans="1:14" ht="118.8">
      <c r="A27" s="264" t="s">
        <v>313</v>
      </c>
      <c r="B27" s="36"/>
      <c r="C27" s="44">
        <v>252</v>
      </c>
      <c r="D27" s="45"/>
      <c r="E27" s="263">
        <v>0</v>
      </c>
      <c r="F27" s="309">
        <f t="shared" si="3"/>
        <v>0</v>
      </c>
      <c r="G27" s="310">
        <v>0</v>
      </c>
      <c r="H27" s="310">
        <v>0</v>
      </c>
      <c r="I27" s="310">
        <v>0</v>
      </c>
      <c r="J27" s="310">
        <v>0</v>
      </c>
      <c r="K27" s="310">
        <v>0</v>
      </c>
      <c r="L27" s="310">
        <v>0</v>
      </c>
      <c r="M27" s="311">
        <v>0</v>
      </c>
      <c r="N27" s="325" t="s">
        <v>915</v>
      </c>
    </row>
    <row r="28" spans="1:14">
      <c r="A28" s="264" t="s">
        <v>314</v>
      </c>
      <c r="B28" s="36"/>
      <c r="C28" s="44">
        <v>252</v>
      </c>
      <c r="D28" s="45"/>
      <c r="E28" s="263">
        <v>0</v>
      </c>
      <c r="F28" s="309">
        <f t="shared" si="3"/>
        <v>0</v>
      </c>
      <c r="G28" s="310">
        <v>0</v>
      </c>
      <c r="H28" s="310">
        <v>0</v>
      </c>
      <c r="I28" s="310">
        <v>0</v>
      </c>
      <c r="J28" s="310">
        <v>0</v>
      </c>
      <c r="K28" s="310">
        <v>0</v>
      </c>
      <c r="L28" s="310">
        <v>0</v>
      </c>
      <c r="M28" s="311">
        <v>0</v>
      </c>
      <c r="N28" s="355"/>
    </row>
    <row r="29" spans="1:14">
      <c r="A29" s="264" t="s">
        <v>315</v>
      </c>
      <c r="B29" s="36"/>
      <c r="C29" s="44">
        <v>253</v>
      </c>
      <c r="D29" s="264"/>
      <c r="E29" s="263">
        <v>0</v>
      </c>
      <c r="F29" s="309">
        <f t="shared" si="3"/>
        <v>0</v>
      </c>
      <c r="G29" s="310">
        <v>0</v>
      </c>
      <c r="H29" s="310">
        <v>0</v>
      </c>
      <c r="I29" s="310">
        <v>0</v>
      </c>
      <c r="J29" s="310">
        <v>0</v>
      </c>
      <c r="K29" s="310">
        <v>0</v>
      </c>
      <c r="L29" s="310">
        <v>0</v>
      </c>
      <c r="M29" s="311">
        <v>0</v>
      </c>
      <c r="N29" s="355"/>
    </row>
    <row r="30" spans="1:14">
      <c r="A30" s="264" t="s">
        <v>316</v>
      </c>
      <c r="B30" s="36"/>
      <c r="C30" s="44">
        <v>255</v>
      </c>
      <c r="D30" s="264"/>
      <c r="E30" s="263">
        <v>0</v>
      </c>
      <c r="F30" s="309">
        <f t="shared" si="3"/>
        <v>0</v>
      </c>
      <c r="G30" s="310">
        <v>0</v>
      </c>
      <c r="H30" s="310">
        <v>0</v>
      </c>
      <c r="I30" s="310">
        <v>0</v>
      </c>
      <c r="J30" s="310">
        <v>0</v>
      </c>
      <c r="K30" s="310">
        <v>0</v>
      </c>
      <c r="L30" s="310">
        <v>0</v>
      </c>
      <c r="M30" s="311">
        <v>0</v>
      </c>
      <c r="N30" s="355"/>
    </row>
    <row r="31" spans="1:14">
      <c r="A31" s="264" t="s">
        <v>317</v>
      </c>
      <c r="B31" s="36"/>
      <c r="C31" s="44">
        <v>256</v>
      </c>
      <c r="D31" s="264"/>
      <c r="E31" s="263">
        <v>0</v>
      </c>
      <c r="F31" s="309">
        <f t="shared" si="3"/>
        <v>0</v>
      </c>
      <c r="G31" s="310">
        <v>0</v>
      </c>
      <c r="H31" s="310">
        <v>0</v>
      </c>
      <c r="I31" s="310">
        <v>0</v>
      </c>
      <c r="J31" s="310">
        <v>0</v>
      </c>
      <c r="K31" s="310">
        <v>0</v>
      </c>
      <c r="L31" s="310">
        <v>0</v>
      </c>
      <c r="M31" s="311">
        <v>0</v>
      </c>
      <c r="N31" s="355"/>
    </row>
    <row r="32" spans="1:14">
      <c r="A32" s="264" t="s">
        <v>318</v>
      </c>
      <c r="B32" s="36"/>
      <c r="C32" s="44">
        <v>257</v>
      </c>
      <c r="D32" s="264"/>
      <c r="E32" s="263">
        <v>0</v>
      </c>
      <c r="F32" s="309">
        <f t="shared" si="3"/>
        <v>0</v>
      </c>
      <c r="G32" s="310">
        <v>0</v>
      </c>
      <c r="H32" s="310">
        <v>0</v>
      </c>
      <c r="I32" s="310">
        <v>0</v>
      </c>
      <c r="J32" s="310">
        <v>0</v>
      </c>
      <c r="K32" s="310">
        <v>0</v>
      </c>
      <c r="L32" s="310">
        <v>0</v>
      </c>
      <c r="M32" s="311">
        <v>0</v>
      </c>
      <c r="N32" s="355"/>
    </row>
    <row r="33" spans="1:14">
      <c r="A33" s="264" t="s">
        <v>319</v>
      </c>
      <c r="B33" s="36"/>
      <c r="C33" s="44" t="s">
        <v>320</v>
      </c>
      <c r="D33" s="264"/>
      <c r="E33" s="263">
        <v>0</v>
      </c>
      <c r="F33" s="309">
        <f t="shared" si="3"/>
        <v>0</v>
      </c>
      <c r="G33" s="310">
        <v>0</v>
      </c>
      <c r="H33" s="310">
        <v>0</v>
      </c>
      <c r="I33" s="310">
        <v>0</v>
      </c>
      <c r="J33" s="310">
        <v>0</v>
      </c>
      <c r="K33" s="310">
        <v>0</v>
      </c>
      <c r="L33" s="310">
        <v>0</v>
      </c>
      <c r="M33" s="311">
        <v>0</v>
      </c>
      <c r="N33" s="355"/>
    </row>
    <row r="34" spans="1:14">
      <c r="A34" s="265" t="s">
        <v>321</v>
      </c>
      <c r="B34" s="36"/>
      <c r="C34" s="266" t="s">
        <v>322</v>
      </c>
      <c r="D34" s="265"/>
      <c r="E34" s="263">
        <v>0</v>
      </c>
      <c r="F34" s="309">
        <f t="shared" si="3"/>
        <v>0</v>
      </c>
      <c r="G34" s="310">
        <v>0</v>
      </c>
      <c r="H34" s="310">
        <v>0</v>
      </c>
      <c r="I34" s="310">
        <v>0</v>
      </c>
      <c r="J34" s="310">
        <v>0</v>
      </c>
      <c r="K34" s="310">
        <v>0</v>
      </c>
      <c r="L34" s="310">
        <v>0</v>
      </c>
      <c r="M34" s="311">
        <v>0</v>
      </c>
      <c r="N34" s="355"/>
    </row>
    <row r="35" spans="1:14">
      <c r="A35" s="40" t="s">
        <v>326</v>
      </c>
      <c r="B35" s="265"/>
      <c r="C35" s="266"/>
      <c r="D35" s="267"/>
      <c r="E35" s="42">
        <f>SUM(E22:E34)</f>
        <v>0</v>
      </c>
      <c r="F35" s="43">
        <f t="shared" ref="F35:M35" si="4">SUM(F22:F34)</f>
        <v>0</v>
      </c>
      <c r="G35" s="43">
        <f t="shared" si="4"/>
        <v>0</v>
      </c>
      <c r="H35" s="43">
        <f t="shared" si="4"/>
        <v>0</v>
      </c>
      <c r="I35" s="43">
        <f t="shared" si="4"/>
        <v>0</v>
      </c>
      <c r="J35" s="43">
        <f t="shared" si="4"/>
        <v>0</v>
      </c>
      <c r="K35" s="43">
        <f t="shared" si="4"/>
        <v>0</v>
      </c>
      <c r="L35" s="43">
        <f t="shared" si="4"/>
        <v>0</v>
      </c>
      <c r="M35" s="43">
        <f t="shared" si="4"/>
        <v>0</v>
      </c>
      <c r="N35" s="355"/>
    </row>
    <row r="36" spans="1:14" ht="29.7">
      <c r="A36" s="40" t="s">
        <v>327</v>
      </c>
      <c r="B36" s="51"/>
      <c r="C36" s="149"/>
      <c r="D36" s="267"/>
      <c r="E36" s="241"/>
      <c r="F36" s="240">
        <f>SUM(G36:M36)</f>
        <v>0</v>
      </c>
      <c r="G36" s="240"/>
      <c r="H36" s="240">
        <v>0</v>
      </c>
      <c r="I36" s="240"/>
      <c r="J36" s="240"/>
      <c r="K36" s="240"/>
      <c r="L36" s="240"/>
      <c r="M36" s="240"/>
      <c r="N36" s="325" t="s">
        <v>916</v>
      </c>
    </row>
    <row r="37" spans="1:14">
      <c r="A37" s="40" t="s">
        <v>328</v>
      </c>
      <c r="B37" s="46"/>
      <c r="C37" s="47"/>
      <c r="D37" s="48">
        <f>D35+D20+D13</f>
        <v>0</v>
      </c>
      <c r="E37" s="42">
        <f>E35+E20+E13-E36</f>
        <v>0</v>
      </c>
      <c r="F37" s="17">
        <f t="shared" ref="F37:M37" si="5">F35+F20+F13-F36</f>
        <v>0</v>
      </c>
      <c r="G37" s="17">
        <f t="shared" si="5"/>
        <v>0</v>
      </c>
      <c r="H37" s="17">
        <f t="shared" si="5"/>
        <v>0</v>
      </c>
      <c r="I37" s="17">
        <f t="shared" si="5"/>
        <v>0</v>
      </c>
      <c r="J37" s="17">
        <f t="shared" si="5"/>
        <v>0</v>
      </c>
      <c r="K37" s="17">
        <f t="shared" si="5"/>
        <v>0</v>
      </c>
      <c r="L37" s="17">
        <f t="shared" si="5"/>
        <v>0</v>
      </c>
      <c r="M37" s="17">
        <f t="shared" si="5"/>
        <v>0</v>
      </c>
      <c r="N37" s="353"/>
    </row>
    <row r="39" spans="1:14">
      <c r="A39" s="381"/>
      <c r="B39" s="313"/>
      <c r="C39" s="313"/>
      <c r="D39" s="313"/>
      <c r="E39" s="313"/>
      <c r="F39" s="833" t="s">
        <v>917</v>
      </c>
      <c r="G39" s="833"/>
      <c r="H39" s="833"/>
      <c r="I39" s="833"/>
      <c r="J39" s="833"/>
      <c r="K39" s="833"/>
      <c r="L39" s="833"/>
      <c r="M39" s="833"/>
      <c r="N39" s="381"/>
    </row>
    <row r="41" spans="1:14" s="381" customFormat="1" ht="15.6" thickBot="1">
      <c r="A41" s="31"/>
      <c r="B41" s="31"/>
      <c r="C41" s="32"/>
      <c r="D41" s="31"/>
      <c r="E41" s="31"/>
      <c r="F41" s="31"/>
      <c r="G41" s="31"/>
      <c r="H41" s="31"/>
      <c r="I41" s="31"/>
      <c r="J41" s="31"/>
      <c r="K41" s="31"/>
      <c r="L41" s="31"/>
      <c r="M41" s="31"/>
      <c r="N41" s="562"/>
    </row>
    <row r="42" spans="1:14" s="381" customFormat="1" ht="15.6">
      <c r="A42" s="764" t="s">
        <v>330</v>
      </c>
      <c r="B42" s="765"/>
      <c r="C42" s="765"/>
      <c r="D42" s="765"/>
      <c r="E42" s="765"/>
      <c r="F42" s="765"/>
      <c r="G42" s="581"/>
      <c r="H42" s="31"/>
      <c r="I42" s="31"/>
      <c r="J42" s="31"/>
      <c r="K42" s="31"/>
      <c r="L42" s="31"/>
      <c r="M42" s="31"/>
      <c r="N42" s="562"/>
    </row>
    <row r="43" spans="1:14" s="381" customFormat="1" ht="15.6">
      <c r="A43" s="738"/>
      <c r="B43" s="739"/>
      <c r="C43" s="739"/>
      <c r="D43" s="739"/>
      <c r="E43" s="739"/>
      <c r="F43" s="739"/>
      <c r="G43" s="582"/>
      <c r="H43" s="31"/>
      <c r="I43" s="31"/>
      <c r="J43" s="31"/>
      <c r="K43" s="31"/>
      <c r="L43" s="31"/>
      <c r="M43" s="31"/>
      <c r="N43" s="562"/>
    </row>
    <row r="44" spans="1:14" s="381" customFormat="1">
      <c r="A44" s="740" t="s">
        <v>331</v>
      </c>
      <c r="B44" s="741"/>
      <c r="C44" s="583"/>
      <c r="D44" s="583"/>
      <c r="E44" s="583"/>
      <c r="F44" s="583"/>
      <c r="G44" s="582"/>
      <c r="H44" s="31"/>
      <c r="I44" s="31"/>
      <c r="J44" s="31"/>
      <c r="K44" s="31"/>
      <c r="L44" s="31"/>
      <c r="M44" s="31"/>
      <c r="N44" s="562"/>
    </row>
    <row r="45" spans="1:14" s="381" customFormat="1">
      <c r="A45" s="584" t="s">
        <v>480</v>
      </c>
      <c r="B45" s="585">
        <f>+E37</f>
        <v>0</v>
      </c>
      <c r="C45" s="586"/>
      <c r="D45" s="587"/>
      <c r="E45" s="587"/>
      <c r="F45" s="587"/>
      <c r="G45" s="582"/>
      <c r="H45" s="31"/>
      <c r="I45" s="31"/>
      <c r="J45" s="31"/>
      <c r="K45" s="31"/>
      <c r="L45" s="31"/>
      <c r="M45" s="31"/>
      <c r="N45" s="562"/>
    </row>
    <row r="46" spans="1:14" s="381" customFormat="1">
      <c r="A46" s="588" t="s">
        <v>481</v>
      </c>
      <c r="B46" s="589">
        <f>+F37</f>
        <v>0</v>
      </c>
      <c r="C46" s="586"/>
      <c r="D46" s="587"/>
      <c r="E46" s="587"/>
      <c r="F46" s="587"/>
      <c r="G46" s="582"/>
      <c r="H46" s="31"/>
      <c r="I46" s="31"/>
      <c r="J46" s="31"/>
      <c r="K46" s="31"/>
      <c r="L46" s="31"/>
      <c r="M46" s="31"/>
      <c r="N46" s="562"/>
    </row>
    <row r="47" spans="1:14" s="381" customFormat="1">
      <c r="A47" s="590" t="s">
        <v>334</v>
      </c>
      <c r="B47" s="591">
        <f>+B46-B45</f>
        <v>0</v>
      </c>
      <c r="C47" s="586"/>
      <c r="D47" s="587"/>
      <c r="E47" s="587"/>
      <c r="F47" s="587"/>
      <c r="G47" s="582"/>
      <c r="H47" s="31"/>
      <c r="I47" s="31"/>
      <c r="J47" s="31"/>
      <c r="K47" s="31"/>
      <c r="L47" s="31"/>
      <c r="M47" s="31"/>
      <c r="N47" s="562"/>
    </row>
    <row r="48" spans="1:14" s="381" customFormat="1">
      <c r="A48" s="590" t="s">
        <v>335</v>
      </c>
      <c r="B48" s="592" t="e">
        <f>+B47/B45</f>
        <v>#DIV/0!</v>
      </c>
      <c r="C48" s="586"/>
      <c r="D48" s="587"/>
      <c r="E48" s="587"/>
      <c r="F48" s="587"/>
      <c r="G48" s="582"/>
      <c r="H48" s="31"/>
      <c r="I48" s="31"/>
      <c r="J48" s="31"/>
      <c r="K48" s="31"/>
      <c r="L48" s="31"/>
      <c r="M48" s="31"/>
      <c r="N48" s="562"/>
    </row>
    <row r="49" spans="1:14" s="381" customFormat="1">
      <c r="A49" s="593"/>
      <c r="B49" s="587"/>
      <c r="C49" s="686"/>
      <c r="D49" s="587"/>
      <c r="E49" s="587"/>
      <c r="F49" s="587"/>
      <c r="G49" s="582"/>
      <c r="H49" s="31"/>
      <c r="I49" s="31"/>
      <c r="J49" s="31"/>
      <c r="K49" s="31"/>
      <c r="L49" s="31"/>
      <c r="M49" s="31"/>
      <c r="N49" s="562"/>
    </row>
    <row r="50" spans="1:14" s="381" customFormat="1">
      <c r="A50" s="731" t="s">
        <v>336</v>
      </c>
      <c r="B50" s="732"/>
      <c r="C50" s="732"/>
      <c r="D50" s="732"/>
      <c r="E50" s="732"/>
      <c r="F50" s="732"/>
      <c r="G50" s="582"/>
      <c r="H50" s="31"/>
      <c r="I50" s="31"/>
      <c r="J50" s="31"/>
      <c r="K50" s="31"/>
      <c r="L50" s="31"/>
      <c r="M50" s="31"/>
      <c r="N50" s="562"/>
    </row>
    <row r="51" spans="1:14" s="381" customFormat="1">
      <c r="A51" s="742"/>
      <c r="B51" s="743"/>
      <c r="C51" s="743"/>
      <c r="D51" s="743"/>
      <c r="E51" s="743"/>
      <c r="F51" s="744"/>
      <c r="G51" s="582"/>
      <c r="H51" s="31"/>
      <c r="I51" s="31"/>
      <c r="J51" s="31"/>
      <c r="K51" s="31"/>
      <c r="L51" s="31"/>
      <c r="M51" s="31"/>
      <c r="N51" s="562"/>
    </row>
    <row r="52" spans="1:14" s="381" customFormat="1">
      <c r="A52" s="594"/>
      <c r="B52" s="595"/>
      <c r="C52" s="595"/>
      <c r="D52" s="595"/>
      <c r="E52" s="595"/>
      <c r="F52" s="595"/>
      <c r="G52" s="582"/>
      <c r="H52" s="31"/>
      <c r="I52" s="31"/>
      <c r="J52" s="31"/>
      <c r="K52" s="31"/>
      <c r="L52" s="31"/>
      <c r="M52" s="31"/>
      <c r="N52" s="562"/>
    </row>
    <row r="53" spans="1:14" s="381" customFormat="1">
      <c r="A53" s="596" t="s">
        <v>337</v>
      </c>
      <c r="B53" s="587"/>
      <c r="C53" s="686"/>
      <c r="D53" s="587"/>
      <c r="E53" s="587"/>
      <c r="F53" s="587"/>
      <c r="G53" s="582"/>
      <c r="H53" s="31"/>
      <c r="I53" s="31"/>
      <c r="J53" s="31"/>
      <c r="K53" s="31"/>
      <c r="L53" s="31"/>
      <c r="M53" s="31"/>
      <c r="N53" s="562"/>
    </row>
    <row r="54" spans="1:14" s="381" customFormat="1">
      <c r="A54" s="735"/>
      <c r="B54" s="736"/>
      <c r="C54" s="736"/>
      <c r="D54" s="736"/>
      <c r="E54" s="736"/>
      <c r="F54" s="737"/>
      <c r="G54" s="582"/>
      <c r="H54" s="31"/>
      <c r="I54" s="31"/>
      <c r="J54" s="31"/>
      <c r="K54" s="31"/>
      <c r="L54" s="31"/>
      <c r="M54" s="31"/>
      <c r="N54" s="562"/>
    </row>
    <row r="55" spans="1:14" s="381" customFormat="1">
      <c r="A55" s="593"/>
      <c r="B55" s="587"/>
      <c r="C55" s="686"/>
      <c r="D55" s="587"/>
      <c r="E55" s="587"/>
      <c r="F55" s="587"/>
      <c r="G55" s="582"/>
      <c r="H55" s="31"/>
      <c r="I55" s="31"/>
      <c r="J55" s="31"/>
      <c r="K55" s="31"/>
      <c r="L55" s="31"/>
      <c r="M55" s="31"/>
      <c r="N55" s="562"/>
    </row>
    <row r="56" spans="1:14" s="381" customFormat="1">
      <c r="A56" s="731" t="s">
        <v>365</v>
      </c>
      <c r="B56" s="732"/>
      <c r="C56" s="732"/>
      <c r="D56" s="732"/>
      <c r="E56" s="732"/>
      <c r="F56" s="732"/>
      <c r="G56" s="582"/>
      <c r="H56" s="31"/>
      <c r="I56" s="31"/>
      <c r="J56" s="31"/>
      <c r="K56" s="31"/>
      <c r="L56" s="31"/>
      <c r="M56" s="31"/>
      <c r="N56" s="562"/>
    </row>
    <row r="57" spans="1:14" s="381" customFormat="1">
      <c r="A57" s="733" t="s">
        <v>849</v>
      </c>
      <c r="B57" s="734"/>
      <c r="C57" s="734"/>
      <c r="D57" s="734"/>
      <c r="E57" s="734"/>
      <c r="F57" s="734"/>
      <c r="G57" s="582"/>
      <c r="H57" s="31"/>
      <c r="I57" s="31"/>
      <c r="J57" s="31"/>
      <c r="K57" s="31"/>
      <c r="L57" s="31"/>
      <c r="M57" s="31"/>
      <c r="N57" s="562"/>
    </row>
    <row r="58" spans="1:14" s="381" customFormat="1">
      <c r="A58" s="735"/>
      <c r="B58" s="736"/>
      <c r="C58" s="736"/>
      <c r="D58" s="736"/>
      <c r="E58" s="736"/>
      <c r="F58" s="737"/>
      <c r="G58" s="582"/>
      <c r="H58" s="31"/>
      <c r="I58" s="31"/>
      <c r="J58" s="31"/>
      <c r="K58" s="31"/>
      <c r="L58" s="31"/>
      <c r="M58" s="31"/>
      <c r="N58" s="562"/>
    </row>
    <row r="59" spans="1:14" s="381" customFormat="1">
      <c r="A59" s="596"/>
      <c r="B59" s="587"/>
      <c r="C59" s="686"/>
      <c r="D59" s="587"/>
      <c r="E59" s="587"/>
      <c r="F59" s="587"/>
      <c r="G59" s="582"/>
      <c r="H59" s="31"/>
      <c r="I59" s="31"/>
      <c r="J59" s="31"/>
      <c r="K59" s="31"/>
      <c r="L59" s="31"/>
      <c r="M59" s="31"/>
      <c r="N59" s="562"/>
    </row>
    <row r="60" spans="1:14" s="381" customFormat="1">
      <c r="A60" s="731" t="s">
        <v>340</v>
      </c>
      <c r="B60" s="732"/>
      <c r="C60" s="732"/>
      <c r="D60" s="732"/>
      <c r="E60" s="732"/>
      <c r="F60" s="587"/>
      <c r="G60" s="582"/>
      <c r="H60" s="31"/>
      <c r="I60" s="31"/>
      <c r="J60" s="31"/>
      <c r="K60" s="31"/>
      <c r="L60" s="31"/>
      <c r="M60" s="31"/>
      <c r="N60" s="562"/>
    </row>
    <row r="61" spans="1:14" s="381" customFormat="1">
      <c r="A61" s="728"/>
      <c r="B61" s="729"/>
      <c r="C61" s="729"/>
      <c r="D61" s="729"/>
      <c r="E61" s="729"/>
      <c r="F61" s="730"/>
      <c r="G61" s="582"/>
      <c r="H61" s="31"/>
      <c r="I61" s="31"/>
      <c r="J61" s="31"/>
      <c r="K61" s="31"/>
      <c r="L61" s="31"/>
      <c r="M61" s="31"/>
      <c r="N61" s="562"/>
    </row>
    <row r="62" spans="1:14" s="381" customFormat="1">
      <c r="A62" s="593"/>
      <c r="B62" s="587"/>
      <c r="C62" s="686"/>
      <c r="D62" s="587"/>
      <c r="E62" s="587"/>
      <c r="F62" s="587"/>
      <c r="G62" s="582"/>
      <c r="H62" s="31"/>
      <c r="I62" s="31"/>
      <c r="J62" s="31"/>
      <c r="K62" s="31"/>
      <c r="L62" s="31"/>
      <c r="M62" s="31"/>
      <c r="N62" s="562"/>
    </row>
    <row r="63" spans="1:14" s="381" customFormat="1">
      <c r="A63" s="596" t="s">
        <v>341</v>
      </c>
      <c r="B63" s="587"/>
      <c r="C63" s="686"/>
      <c r="D63" s="587"/>
      <c r="E63" s="587"/>
      <c r="F63" s="587"/>
      <c r="G63" s="582"/>
      <c r="H63" s="31"/>
      <c r="I63" s="31"/>
      <c r="J63" s="31"/>
      <c r="K63" s="31"/>
      <c r="L63" s="31"/>
      <c r="M63" s="31"/>
      <c r="N63" s="562"/>
    </row>
    <row r="64" spans="1:14" s="381" customFormat="1">
      <c r="A64" s="597" t="s">
        <v>342</v>
      </c>
      <c r="B64" s="587"/>
      <c r="C64" s="686"/>
      <c r="D64" s="587"/>
      <c r="E64" s="587"/>
      <c r="F64" s="587"/>
      <c r="G64" s="582"/>
      <c r="H64" s="31"/>
      <c r="I64" s="31"/>
      <c r="J64" s="31"/>
      <c r="K64" s="31"/>
      <c r="L64" s="31"/>
      <c r="M64" s="31"/>
      <c r="N64" s="562"/>
    </row>
    <row r="65" spans="1:14" s="381" customFormat="1" ht="29.7" customHeight="1">
      <c r="A65" s="719" t="s">
        <v>343</v>
      </c>
      <c r="B65" s="720"/>
      <c r="C65" s="720"/>
      <c r="D65" s="720"/>
      <c r="E65" s="720"/>
      <c r="F65" s="720"/>
      <c r="G65" s="582"/>
      <c r="H65" s="31"/>
      <c r="I65" s="31"/>
      <c r="J65" s="31"/>
      <c r="K65" s="31"/>
      <c r="L65" s="31"/>
      <c r="M65" s="31"/>
      <c r="N65" s="562"/>
    </row>
    <row r="66" spans="1:14" s="381" customFormat="1">
      <c r="A66" s="721"/>
      <c r="B66" s="722"/>
      <c r="C66" s="722"/>
      <c r="D66" s="722"/>
      <c r="E66" s="722"/>
      <c r="F66" s="723"/>
      <c r="G66" s="582"/>
      <c r="H66" s="31"/>
      <c r="I66" s="31"/>
      <c r="J66" s="31"/>
      <c r="K66" s="31"/>
      <c r="L66" s="31"/>
      <c r="M66" s="31"/>
      <c r="N66" s="562"/>
    </row>
    <row r="67" spans="1:14" s="381" customFormat="1">
      <c r="A67" s="724"/>
      <c r="B67" s="725"/>
      <c r="C67" s="725"/>
      <c r="D67" s="725"/>
      <c r="E67" s="725"/>
      <c r="F67" s="725"/>
      <c r="G67" s="582"/>
      <c r="H67" s="31"/>
      <c r="I67" s="31"/>
      <c r="J67" s="31"/>
      <c r="K67" s="31"/>
      <c r="L67" s="31"/>
      <c r="M67" s="31"/>
      <c r="N67" s="562"/>
    </row>
    <row r="68" spans="1:14" s="381" customFormat="1">
      <c r="A68" s="597" t="s">
        <v>344</v>
      </c>
      <c r="B68" s="587"/>
      <c r="C68" s="686"/>
      <c r="D68" s="587"/>
      <c r="E68" s="587"/>
      <c r="F68" s="587"/>
      <c r="G68" s="582"/>
      <c r="H68" s="31"/>
      <c r="I68" s="31"/>
      <c r="J68" s="31"/>
      <c r="K68" s="31"/>
      <c r="L68" s="31"/>
      <c r="M68" s="31"/>
      <c r="N68" s="562"/>
    </row>
    <row r="69" spans="1:14" s="381" customFormat="1" ht="30.45" customHeight="1">
      <c r="A69" s="726" t="s">
        <v>345</v>
      </c>
      <c r="B69" s="727"/>
      <c r="C69" s="727"/>
      <c r="D69" s="727"/>
      <c r="E69" s="727"/>
      <c r="F69" s="727"/>
      <c r="G69" s="582"/>
      <c r="H69" s="31"/>
      <c r="I69" s="31"/>
      <c r="J69" s="31"/>
      <c r="K69" s="31"/>
      <c r="L69" s="31"/>
      <c r="M69" s="31"/>
      <c r="N69" s="562"/>
    </row>
    <row r="70" spans="1:14" s="381" customFormat="1">
      <c r="A70" s="728"/>
      <c r="B70" s="729"/>
      <c r="C70" s="729"/>
      <c r="D70" s="729"/>
      <c r="E70" s="729"/>
      <c r="F70" s="730"/>
      <c r="G70" s="582"/>
      <c r="H70" s="31"/>
      <c r="I70" s="31"/>
      <c r="J70" s="31"/>
      <c r="K70" s="31"/>
      <c r="L70" s="31"/>
      <c r="M70" s="31"/>
      <c r="N70" s="562"/>
    </row>
    <row r="71" spans="1:14" s="381" customFormat="1" ht="15.6" thickBot="1">
      <c r="A71" s="598"/>
      <c r="B71" s="599"/>
      <c r="C71" s="600"/>
      <c r="D71" s="599"/>
      <c r="E71" s="599"/>
      <c r="F71" s="599"/>
      <c r="G71" s="601"/>
      <c r="H71" s="31"/>
      <c r="I71" s="31"/>
      <c r="J71" s="31"/>
      <c r="K71" s="31"/>
      <c r="L71" s="31"/>
      <c r="M71" s="31"/>
      <c r="N71" s="562"/>
    </row>
    <row r="72" spans="1:14" s="381" customFormat="1">
      <c r="A72" s="31"/>
      <c r="B72" s="31"/>
      <c r="C72" s="32"/>
      <c r="D72" s="31"/>
      <c r="E72" s="31"/>
      <c r="F72" s="31"/>
      <c r="G72" s="31"/>
      <c r="H72" s="31"/>
      <c r="I72" s="31"/>
      <c r="J72" s="31"/>
      <c r="K72" s="31"/>
      <c r="L72" s="31"/>
      <c r="M72" s="31"/>
      <c r="N72" s="562"/>
    </row>
  </sheetData>
  <mergeCells count="18">
    <mergeCell ref="A1:N1"/>
    <mergeCell ref="F39:M39"/>
    <mergeCell ref="A42:F42"/>
    <mergeCell ref="A43:F43"/>
    <mergeCell ref="A44:B44"/>
    <mergeCell ref="A50:F50"/>
    <mergeCell ref="A51:F51"/>
    <mergeCell ref="A54:F54"/>
    <mergeCell ref="A56:F56"/>
    <mergeCell ref="A57:F57"/>
    <mergeCell ref="A67:F67"/>
    <mergeCell ref="A69:F69"/>
    <mergeCell ref="A70:F70"/>
    <mergeCell ref="A58:F58"/>
    <mergeCell ref="A60:E60"/>
    <mergeCell ref="A61:F61"/>
    <mergeCell ref="A65:F65"/>
    <mergeCell ref="A66:F66"/>
  </mergeCells>
  <printOptions horizontalCentered="1"/>
  <pageMargins left="0.2" right="0.2" top="0.75" bottom="0.75" header="0.3" footer="0.3"/>
  <pageSetup scale="73" fitToHeight="0" orientation="landscape" r:id="rId1"/>
  <headerFooter>
    <oddHeader xml:space="preserve">&amp;CDRAFT NOT FOR DISTRIBUTION, INTERNAL USE ONLY
</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2" tint="-0.249977111117893"/>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9" width="7.140625" customWidth="1"/>
    <col min="10" max="10" width="9.28515625" customWidth="1"/>
    <col min="11" max="11" width="7.7109375" customWidth="1"/>
    <col min="12" max="12" width="9.7109375" customWidth="1"/>
    <col min="13" max="13" width="9.140625" customWidth="1"/>
    <col min="14" max="14" width="39.42578125" bestFit="1" customWidth="1"/>
  </cols>
  <sheetData>
    <row r="1" spans="1:14" ht="15.6">
      <c r="A1" s="745" t="s">
        <v>482</v>
      </c>
      <c r="B1" s="745"/>
      <c r="C1" s="745"/>
      <c r="D1" s="745"/>
      <c r="E1" s="745"/>
      <c r="F1" s="745"/>
      <c r="G1" s="745"/>
      <c r="H1" s="745"/>
      <c r="I1" s="745"/>
      <c r="J1" s="745"/>
      <c r="K1" s="745"/>
      <c r="L1" s="745"/>
      <c r="M1" s="745"/>
      <c r="N1" s="745"/>
    </row>
    <row r="2" spans="1:14">
      <c r="A2" s="65" t="s">
        <v>918</v>
      </c>
      <c r="B2" s="381"/>
      <c r="C2" s="687"/>
      <c r="D2" s="381"/>
      <c r="E2" s="381"/>
      <c r="F2" s="381"/>
      <c r="G2" s="381"/>
      <c r="H2" s="381"/>
      <c r="I2" s="381"/>
      <c r="J2" s="381"/>
      <c r="K2" s="381"/>
      <c r="L2" s="381"/>
      <c r="M2" s="381"/>
      <c r="N2" s="381"/>
    </row>
    <row r="3" spans="1:14">
      <c r="A3" s="68" t="s">
        <v>919</v>
      </c>
      <c r="B3" s="381"/>
      <c r="C3" s="687"/>
      <c r="D3" s="381"/>
      <c r="E3" s="381"/>
      <c r="F3" s="29"/>
      <c r="G3" s="554" t="s">
        <v>275</v>
      </c>
      <c r="H3" s="381"/>
      <c r="I3" s="381"/>
      <c r="J3" s="381"/>
      <c r="K3" s="381"/>
      <c r="L3" s="381"/>
      <c r="M3" s="381"/>
      <c r="N3" s="381"/>
    </row>
    <row r="4" spans="1:14">
      <c r="A4" s="68" t="s">
        <v>920</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89.1">
      <c r="A7" s="36" t="s">
        <v>921</v>
      </c>
      <c r="B7" s="36" t="s">
        <v>922</v>
      </c>
      <c r="C7" s="37" t="s">
        <v>287</v>
      </c>
      <c r="D7" s="38">
        <v>0.12</v>
      </c>
      <c r="E7" s="263">
        <v>12</v>
      </c>
      <c r="F7" s="164">
        <f t="shared" ref="F7:F15" si="0">SUM(G7:M7)</f>
        <v>15</v>
      </c>
      <c r="G7" s="310">
        <v>0</v>
      </c>
      <c r="H7" s="310">
        <v>0</v>
      </c>
      <c r="I7" s="310">
        <v>0</v>
      </c>
      <c r="J7" s="310">
        <v>15</v>
      </c>
      <c r="K7" s="310">
        <v>0</v>
      </c>
      <c r="L7" s="310">
        <v>0</v>
      </c>
      <c r="M7" s="311">
        <v>0</v>
      </c>
      <c r="N7" s="545" t="s">
        <v>923</v>
      </c>
    </row>
    <row r="8" spans="1:14" ht="44.55">
      <c r="A8" s="416" t="s">
        <v>924</v>
      </c>
      <c r="B8" s="36"/>
      <c r="C8" s="37" t="s">
        <v>287</v>
      </c>
      <c r="D8" s="39"/>
      <c r="E8" s="163">
        <v>0</v>
      </c>
      <c r="F8" s="164">
        <f t="shared" si="0"/>
        <v>0</v>
      </c>
      <c r="G8" s="165">
        <v>0</v>
      </c>
      <c r="H8" s="165">
        <v>0</v>
      </c>
      <c r="I8" s="165">
        <v>0</v>
      </c>
      <c r="J8" s="165">
        <v>0</v>
      </c>
      <c r="K8" s="165">
        <v>0</v>
      </c>
      <c r="L8" s="165">
        <v>0</v>
      </c>
      <c r="M8" s="166">
        <v>0</v>
      </c>
      <c r="N8" s="564" t="s">
        <v>925</v>
      </c>
    </row>
    <row r="9" spans="1:14" ht="59.4">
      <c r="A9" s="416" t="s">
        <v>926</v>
      </c>
      <c r="B9" s="264"/>
      <c r="C9" s="37" t="s">
        <v>287</v>
      </c>
      <c r="D9" s="39"/>
      <c r="E9" s="163">
        <v>0</v>
      </c>
      <c r="F9" s="164">
        <f t="shared" si="0"/>
        <v>0</v>
      </c>
      <c r="G9" s="165">
        <v>0</v>
      </c>
      <c r="H9" s="165">
        <v>0</v>
      </c>
      <c r="I9" s="165">
        <v>0</v>
      </c>
      <c r="J9" s="165">
        <v>0</v>
      </c>
      <c r="K9" s="165">
        <v>0</v>
      </c>
      <c r="L9" s="165">
        <v>0</v>
      </c>
      <c r="M9" s="166">
        <v>0</v>
      </c>
      <c r="N9" s="325" t="s">
        <v>927</v>
      </c>
    </row>
    <row r="10" spans="1:14" ht="15.05" customHeight="1">
      <c r="A10" s="36" t="s">
        <v>286</v>
      </c>
      <c r="B10" s="264"/>
      <c r="C10" s="37" t="s">
        <v>287</v>
      </c>
      <c r="D10" s="39"/>
      <c r="E10" s="163">
        <v>0</v>
      </c>
      <c r="F10" s="164">
        <f t="shared" si="0"/>
        <v>0</v>
      </c>
      <c r="G10" s="165">
        <v>0</v>
      </c>
      <c r="H10" s="165">
        <v>0</v>
      </c>
      <c r="I10" s="165">
        <v>0</v>
      </c>
      <c r="J10" s="165">
        <v>0</v>
      </c>
      <c r="K10" s="165">
        <v>0</v>
      </c>
      <c r="L10" s="165">
        <v>0</v>
      </c>
      <c r="M10" s="166">
        <v>0</v>
      </c>
      <c r="N10" s="57"/>
    </row>
    <row r="11" spans="1:14" ht="15.05" customHeight="1">
      <c r="A11" s="36" t="s">
        <v>286</v>
      </c>
      <c r="B11" s="36"/>
      <c r="C11" s="37" t="s">
        <v>287</v>
      </c>
      <c r="D11" s="39"/>
      <c r="E11" s="163">
        <v>0</v>
      </c>
      <c r="F11" s="164">
        <f t="shared" si="0"/>
        <v>0</v>
      </c>
      <c r="G11" s="165">
        <v>0</v>
      </c>
      <c r="H11" s="165">
        <v>0</v>
      </c>
      <c r="I11" s="165">
        <v>0</v>
      </c>
      <c r="J11" s="165">
        <v>0</v>
      </c>
      <c r="K11" s="165">
        <v>0</v>
      </c>
      <c r="L11" s="165">
        <v>0</v>
      </c>
      <c r="M11" s="166">
        <v>0</v>
      </c>
      <c r="N11" s="57"/>
    </row>
    <row r="12" spans="1:14" ht="15.05" customHeight="1">
      <c r="A12" s="36" t="s">
        <v>286</v>
      </c>
      <c r="B12" s="264"/>
      <c r="C12" s="37" t="s">
        <v>287</v>
      </c>
      <c r="D12" s="39"/>
      <c r="E12" s="163">
        <v>0</v>
      </c>
      <c r="F12" s="164">
        <f t="shared" si="0"/>
        <v>0</v>
      </c>
      <c r="G12" s="165">
        <v>0</v>
      </c>
      <c r="H12" s="165">
        <v>0</v>
      </c>
      <c r="I12" s="165">
        <v>0</v>
      </c>
      <c r="J12" s="165">
        <v>0</v>
      </c>
      <c r="K12" s="165">
        <v>0</v>
      </c>
      <c r="L12" s="165">
        <v>0</v>
      </c>
      <c r="M12" s="166">
        <v>0</v>
      </c>
      <c r="N12" s="57"/>
    </row>
    <row r="13" spans="1:14">
      <c r="A13" s="36" t="s">
        <v>286</v>
      </c>
      <c r="B13" s="264"/>
      <c r="C13" s="37" t="s">
        <v>287</v>
      </c>
      <c r="D13" s="39"/>
      <c r="E13" s="163">
        <v>0</v>
      </c>
      <c r="F13" s="164">
        <f t="shared" si="0"/>
        <v>0</v>
      </c>
      <c r="G13" s="165">
        <v>0</v>
      </c>
      <c r="H13" s="165">
        <v>0</v>
      </c>
      <c r="I13" s="165">
        <v>0</v>
      </c>
      <c r="J13" s="165">
        <v>0</v>
      </c>
      <c r="K13" s="165">
        <v>0</v>
      </c>
      <c r="L13" s="165">
        <v>0</v>
      </c>
      <c r="M13" s="166">
        <v>0</v>
      </c>
      <c r="N13" s="57"/>
    </row>
    <row r="14" spans="1:14">
      <c r="A14" s="36" t="s">
        <v>286</v>
      </c>
      <c r="B14" s="264"/>
      <c r="C14" s="37" t="s">
        <v>287</v>
      </c>
      <c r="D14" s="39"/>
      <c r="E14" s="163">
        <v>0</v>
      </c>
      <c r="F14" s="164">
        <f t="shared" si="0"/>
        <v>0</v>
      </c>
      <c r="G14" s="165">
        <v>0</v>
      </c>
      <c r="H14" s="165">
        <v>0</v>
      </c>
      <c r="I14" s="165">
        <v>0</v>
      </c>
      <c r="J14" s="165">
        <v>0</v>
      </c>
      <c r="K14" s="165">
        <v>0</v>
      </c>
      <c r="L14" s="165">
        <v>0</v>
      </c>
      <c r="M14" s="166">
        <v>0</v>
      </c>
      <c r="N14" s="57"/>
    </row>
    <row r="15" spans="1:14">
      <c r="A15" s="36" t="s">
        <v>286</v>
      </c>
      <c r="B15" s="265"/>
      <c r="C15" s="37" t="s">
        <v>287</v>
      </c>
      <c r="D15" s="39"/>
      <c r="E15" s="163">
        <v>0</v>
      </c>
      <c r="F15" s="164">
        <f t="shared" si="0"/>
        <v>0</v>
      </c>
      <c r="G15" s="165">
        <v>0</v>
      </c>
      <c r="H15" s="165">
        <v>0</v>
      </c>
      <c r="I15" s="165">
        <v>0</v>
      </c>
      <c r="J15" s="165">
        <v>0</v>
      </c>
      <c r="K15" s="165">
        <v>0</v>
      </c>
      <c r="L15" s="165">
        <v>0</v>
      </c>
      <c r="M15" s="166">
        <v>0</v>
      </c>
      <c r="N15" s="57"/>
    </row>
    <row r="16" spans="1:14">
      <c r="A16" s="40" t="s">
        <v>288</v>
      </c>
      <c r="B16" s="265"/>
      <c r="C16" s="266"/>
      <c r="D16" s="41">
        <f t="shared" ref="D16:M16" si="1">SUM(D7:D15)</f>
        <v>0.12</v>
      </c>
      <c r="E16" s="42">
        <f t="shared" si="1"/>
        <v>12</v>
      </c>
      <c r="F16" s="43">
        <f t="shared" si="1"/>
        <v>15</v>
      </c>
      <c r="G16" s="43">
        <f t="shared" si="1"/>
        <v>0</v>
      </c>
      <c r="H16" s="43">
        <f t="shared" si="1"/>
        <v>0</v>
      </c>
      <c r="I16" s="43">
        <f t="shared" si="1"/>
        <v>0</v>
      </c>
      <c r="J16" s="43">
        <f t="shared" si="1"/>
        <v>15</v>
      </c>
      <c r="K16" s="43">
        <f t="shared" si="1"/>
        <v>0</v>
      </c>
      <c r="L16" s="43">
        <f t="shared" si="1"/>
        <v>0</v>
      </c>
      <c r="M16" s="43">
        <f t="shared" si="1"/>
        <v>0</v>
      </c>
      <c r="N16" s="254"/>
    </row>
    <row r="17" spans="1:14">
      <c r="A17" s="69" t="s">
        <v>289</v>
      </c>
      <c r="B17" s="70"/>
      <c r="C17" s="71"/>
      <c r="D17" s="70"/>
      <c r="E17" s="70"/>
      <c r="F17" s="70"/>
      <c r="G17" s="70"/>
      <c r="H17" s="70"/>
      <c r="I17" s="70"/>
      <c r="J17" s="70"/>
      <c r="K17" s="70"/>
      <c r="L17" s="70"/>
      <c r="M17" s="70"/>
      <c r="N17" s="70"/>
    </row>
    <row r="18" spans="1:14" ht="29.7">
      <c r="A18" s="73" t="s">
        <v>928</v>
      </c>
      <c r="B18" s="264"/>
      <c r="C18" s="44">
        <v>252</v>
      </c>
      <c r="D18" s="45"/>
      <c r="E18" s="263">
        <v>194</v>
      </c>
      <c r="F18" s="164">
        <f>SUM(G18:M18)</f>
        <v>194</v>
      </c>
      <c r="G18" s="310">
        <v>0</v>
      </c>
      <c r="H18" s="310">
        <v>0</v>
      </c>
      <c r="I18" s="310">
        <v>0</v>
      </c>
      <c r="J18" s="310">
        <v>194</v>
      </c>
      <c r="K18" s="310">
        <v>0</v>
      </c>
      <c r="L18" s="310">
        <v>0</v>
      </c>
      <c r="M18" s="311">
        <v>0</v>
      </c>
      <c r="N18" s="327" t="s">
        <v>929</v>
      </c>
    </row>
    <row r="19" spans="1:14">
      <c r="A19" s="264" t="s">
        <v>355</v>
      </c>
      <c r="B19" s="264"/>
      <c r="C19" s="44">
        <v>253</v>
      </c>
      <c r="D19" s="45"/>
      <c r="E19" s="163">
        <v>0</v>
      </c>
      <c r="F19" s="164">
        <f>SUM(G19:M19)</f>
        <v>0</v>
      </c>
      <c r="G19" s="165">
        <v>0</v>
      </c>
      <c r="H19" s="165">
        <v>0</v>
      </c>
      <c r="I19" s="165">
        <v>0</v>
      </c>
      <c r="J19" s="165">
        <v>0</v>
      </c>
      <c r="K19" s="165">
        <v>0</v>
      </c>
      <c r="L19" s="165">
        <v>0</v>
      </c>
      <c r="M19" s="166">
        <v>0</v>
      </c>
      <c r="N19" s="36"/>
    </row>
    <row r="20" spans="1:14">
      <c r="A20" s="264" t="s">
        <v>355</v>
      </c>
      <c r="B20" s="264"/>
      <c r="C20" s="44">
        <v>253</v>
      </c>
      <c r="D20" s="267"/>
      <c r="E20" s="163">
        <v>0</v>
      </c>
      <c r="F20" s="164">
        <f>SUM(G20:M20)</f>
        <v>0</v>
      </c>
      <c r="G20" s="165">
        <v>0</v>
      </c>
      <c r="H20" s="165">
        <v>0</v>
      </c>
      <c r="I20" s="165">
        <v>0</v>
      </c>
      <c r="J20" s="165">
        <v>0</v>
      </c>
      <c r="K20" s="165">
        <v>0</v>
      </c>
      <c r="L20" s="165">
        <v>0</v>
      </c>
      <c r="M20" s="166">
        <v>0</v>
      </c>
      <c r="N20" s="57"/>
    </row>
    <row r="21" spans="1:14" s="7" customFormat="1">
      <c r="A21" s="264" t="s">
        <v>427</v>
      </c>
      <c r="B21" s="264"/>
      <c r="C21" s="44">
        <v>253</v>
      </c>
      <c r="D21" s="267"/>
      <c r="E21" s="163">
        <v>0</v>
      </c>
      <c r="F21" s="164">
        <f>SUM(G21:M21)</f>
        <v>0</v>
      </c>
      <c r="G21" s="165">
        <v>0</v>
      </c>
      <c r="H21" s="165">
        <v>0</v>
      </c>
      <c r="I21" s="165">
        <v>0</v>
      </c>
      <c r="J21" s="165">
        <v>0</v>
      </c>
      <c r="K21" s="165">
        <v>0</v>
      </c>
      <c r="L21" s="165">
        <v>0</v>
      </c>
      <c r="M21" s="166">
        <v>0</v>
      </c>
      <c r="N21" s="36"/>
    </row>
    <row r="22" spans="1:14">
      <c r="A22" s="40" t="s">
        <v>294</v>
      </c>
      <c r="B22" s="265"/>
      <c r="C22" s="266"/>
      <c r="D22" s="267">
        <f>SUM(D18:D21)</f>
        <v>0</v>
      </c>
      <c r="E22" s="42">
        <f>SUM(E18:E21)</f>
        <v>194</v>
      </c>
      <c r="F22" s="43">
        <f>SUM(F18:F21)</f>
        <v>194</v>
      </c>
      <c r="G22" s="43">
        <f t="shared" ref="G22:M22" si="2">SUM(G18:G21)</f>
        <v>0</v>
      </c>
      <c r="H22" s="43">
        <f t="shared" si="2"/>
        <v>0</v>
      </c>
      <c r="I22" s="43">
        <f t="shared" si="2"/>
        <v>0</v>
      </c>
      <c r="J22" s="43">
        <f t="shared" si="2"/>
        <v>194</v>
      </c>
      <c r="K22" s="43">
        <f t="shared" si="2"/>
        <v>0</v>
      </c>
      <c r="L22" s="43">
        <f t="shared" si="2"/>
        <v>0</v>
      </c>
      <c r="M22" s="43">
        <f t="shared" si="2"/>
        <v>0</v>
      </c>
      <c r="N22" s="57"/>
    </row>
    <row r="23" spans="1:14" s="7" customFormat="1">
      <c r="A23" s="127" t="s">
        <v>295</v>
      </c>
      <c r="B23" s="128"/>
      <c r="C23" s="128"/>
      <c r="D23" s="128"/>
      <c r="E23" s="128"/>
      <c r="F23" s="128"/>
      <c r="G23" s="128"/>
      <c r="H23" s="128"/>
      <c r="I23" s="128"/>
      <c r="J23" s="128"/>
      <c r="K23" s="128"/>
      <c r="L23" s="128"/>
      <c r="M23" s="128"/>
      <c r="N23" s="168"/>
    </row>
    <row r="24" spans="1:14" ht="44.55">
      <c r="A24" s="264" t="s">
        <v>296</v>
      </c>
      <c r="B24" s="36"/>
      <c r="C24" s="37" t="s">
        <v>297</v>
      </c>
      <c r="D24" s="38">
        <v>0</v>
      </c>
      <c r="E24" s="163">
        <v>6</v>
      </c>
      <c r="F24" s="164">
        <f t="shared" ref="F24:F35" si="3">SUM(G24:M24)</f>
        <v>6</v>
      </c>
      <c r="G24" s="165">
        <v>0</v>
      </c>
      <c r="H24" s="165">
        <v>0</v>
      </c>
      <c r="I24" s="165">
        <v>0</v>
      </c>
      <c r="J24" s="165">
        <v>6</v>
      </c>
      <c r="K24" s="165">
        <v>0</v>
      </c>
      <c r="L24" s="165">
        <v>0</v>
      </c>
      <c r="M24" s="166">
        <v>0</v>
      </c>
      <c r="N24" s="327" t="s">
        <v>930</v>
      </c>
    </row>
    <row r="25" spans="1:14">
      <c r="A25" s="264" t="s">
        <v>298</v>
      </c>
      <c r="B25" s="36"/>
      <c r="C25" s="44" t="s">
        <v>299</v>
      </c>
      <c r="D25" s="45"/>
      <c r="E25" s="163">
        <v>0</v>
      </c>
      <c r="F25" s="164">
        <f t="shared" si="3"/>
        <v>0</v>
      </c>
      <c r="G25" s="165">
        <v>0</v>
      </c>
      <c r="H25" s="165">
        <v>0</v>
      </c>
      <c r="I25" s="165">
        <v>0</v>
      </c>
      <c r="J25" s="165">
        <v>0</v>
      </c>
      <c r="K25" s="165">
        <v>0</v>
      </c>
      <c r="L25" s="165">
        <v>0</v>
      </c>
      <c r="M25" s="166">
        <v>0</v>
      </c>
      <c r="N25" s="57"/>
    </row>
    <row r="26" spans="1:14">
      <c r="A26" s="264" t="s">
        <v>300</v>
      </c>
      <c r="B26" s="36"/>
      <c r="C26" s="44" t="s">
        <v>301</v>
      </c>
      <c r="D26" s="45"/>
      <c r="E26" s="163">
        <v>0</v>
      </c>
      <c r="F26" s="164">
        <f t="shared" si="3"/>
        <v>0</v>
      </c>
      <c r="G26" s="165">
        <v>0</v>
      </c>
      <c r="H26" s="165">
        <v>0</v>
      </c>
      <c r="I26" s="165">
        <v>0</v>
      </c>
      <c r="J26" s="165">
        <v>0</v>
      </c>
      <c r="K26" s="165">
        <v>0</v>
      </c>
      <c r="L26" s="165">
        <v>0</v>
      </c>
      <c r="M26" s="166">
        <v>0</v>
      </c>
      <c r="N26" s="57"/>
    </row>
    <row r="27" spans="1:14">
      <c r="A27" s="264" t="s">
        <v>302</v>
      </c>
      <c r="B27" s="36"/>
      <c r="C27" s="44" t="s">
        <v>303</v>
      </c>
      <c r="D27" s="45"/>
      <c r="E27" s="163">
        <v>0</v>
      </c>
      <c r="F27" s="164">
        <f t="shared" si="3"/>
        <v>0</v>
      </c>
      <c r="G27" s="165">
        <v>0</v>
      </c>
      <c r="H27" s="165">
        <v>0</v>
      </c>
      <c r="I27" s="165">
        <v>0</v>
      </c>
      <c r="J27" s="165">
        <v>0</v>
      </c>
      <c r="K27" s="165">
        <v>0</v>
      </c>
      <c r="L27" s="165">
        <v>0</v>
      </c>
      <c r="M27" s="166">
        <v>0</v>
      </c>
      <c r="N27" s="57"/>
    </row>
    <row r="28" spans="1:14">
      <c r="A28" s="264" t="s">
        <v>304</v>
      </c>
      <c r="B28" s="36"/>
      <c r="C28" s="44">
        <v>251</v>
      </c>
      <c r="D28" s="45"/>
      <c r="E28" s="163">
        <v>0</v>
      </c>
      <c r="F28" s="164">
        <f t="shared" si="3"/>
        <v>0</v>
      </c>
      <c r="G28" s="165">
        <v>0</v>
      </c>
      <c r="H28" s="165">
        <v>0</v>
      </c>
      <c r="I28" s="165">
        <v>0</v>
      </c>
      <c r="J28" s="165">
        <v>0</v>
      </c>
      <c r="K28" s="165">
        <v>0</v>
      </c>
      <c r="L28" s="165">
        <v>0</v>
      </c>
      <c r="M28" s="166">
        <v>0</v>
      </c>
      <c r="N28" s="57"/>
    </row>
    <row r="29" spans="1:14">
      <c r="A29" s="96" t="s">
        <v>313</v>
      </c>
      <c r="B29" s="97"/>
      <c r="C29" s="98">
        <v>252</v>
      </c>
      <c r="D29" s="99"/>
      <c r="E29" s="170">
        <v>0</v>
      </c>
      <c r="F29" s="171">
        <f t="shared" si="3"/>
        <v>0</v>
      </c>
      <c r="G29" s="172">
        <v>0</v>
      </c>
      <c r="H29" s="172">
        <v>0</v>
      </c>
      <c r="I29" s="172">
        <v>0</v>
      </c>
      <c r="J29" s="172">
        <v>0</v>
      </c>
      <c r="K29" s="172">
        <v>0</v>
      </c>
      <c r="L29" s="172">
        <v>0</v>
      </c>
      <c r="M29" s="173">
        <v>0</v>
      </c>
      <c r="N29" s="174"/>
    </row>
    <row r="30" spans="1:14">
      <c r="A30" s="264" t="s">
        <v>314</v>
      </c>
      <c r="B30" s="36"/>
      <c r="C30" s="44">
        <v>252</v>
      </c>
      <c r="D30" s="45"/>
      <c r="E30" s="163">
        <v>0</v>
      </c>
      <c r="F30" s="164">
        <f t="shared" si="3"/>
        <v>0</v>
      </c>
      <c r="G30" s="165">
        <v>0</v>
      </c>
      <c r="H30" s="165">
        <v>0</v>
      </c>
      <c r="I30" s="165">
        <v>0</v>
      </c>
      <c r="J30" s="165">
        <v>0</v>
      </c>
      <c r="K30" s="165">
        <v>0</v>
      </c>
      <c r="L30" s="165">
        <v>0</v>
      </c>
      <c r="M30" s="166">
        <v>0</v>
      </c>
      <c r="N30" s="57"/>
    </row>
    <row r="31" spans="1:14">
      <c r="A31" s="264" t="s">
        <v>315</v>
      </c>
      <c r="B31" s="36"/>
      <c r="C31" s="44">
        <v>253</v>
      </c>
      <c r="D31" s="264"/>
      <c r="E31" s="163">
        <v>0</v>
      </c>
      <c r="F31" s="164">
        <f t="shared" si="3"/>
        <v>0</v>
      </c>
      <c r="G31" s="165">
        <v>0</v>
      </c>
      <c r="H31" s="165">
        <v>0</v>
      </c>
      <c r="I31" s="165">
        <v>0</v>
      </c>
      <c r="J31" s="165">
        <v>0</v>
      </c>
      <c r="K31" s="165">
        <v>0</v>
      </c>
      <c r="L31" s="165">
        <v>0</v>
      </c>
      <c r="M31" s="166">
        <v>0</v>
      </c>
      <c r="N31" s="57"/>
    </row>
    <row r="32" spans="1:14">
      <c r="A32" s="264" t="s">
        <v>316</v>
      </c>
      <c r="B32" s="36"/>
      <c r="C32" s="44">
        <v>255</v>
      </c>
      <c r="D32" s="264"/>
      <c r="E32" s="163">
        <v>0</v>
      </c>
      <c r="F32" s="164">
        <f t="shared" si="3"/>
        <v>0</v>
      </c>
      <c r="G32" s="165">
        <v>0</v>
      </c>
      <c r="H32" s="165">
        <v>0</v>
      </c>
      <c r="I32" s="165">
        <v>0</v>
      </c>
      <c r="J32" s="165">
        <v>0</v>
      </c>
      <c r="K32" s="165">
        <v>0</v>
      </c>
      <c r="L32" s="165">
        <v>0</v>
      </c>
      <c r="M32" s="166">
        <v>0</v>
      </c>
      <c r="N32" s="57"/>
    </row>
    <row r="33" spans="1:14">
      <c r="A33" s="264" t="s">
        <v>317</v>
      </c>
      <c r="B33" s="36"/>
      <c r="C33" s="44">
        <v>256</v>
      </c>
      <c r="D33" s="264"/>
      <c r="E33" s="163">
        <v>0</v>
      </c>
      <c r="F33" s="164">
        <f t="shared" si="3"/>
        <v>0</v>
      </c>
      <c r="G33" s="165">
        <v>0</v>
      </c>
      <c r="H33" s="165">
        <v>0</v>
      </c>
      <c r="I33" s="165">
        <v>0</v>
      </c>
      <c r="J33" s="165">
        <v>0</v>
      </c>
      <c r="K33" s="165">
        <v>0</v>
      </c>
      <c r="L33" s="165">
        <v>0</v>
      </c>
      <c r="M33" s="166">
        <v>0</v>
      </c>
      <c r="N33" s="57"/>
    </row>
    <row r="34" spans="1:14">
      <c r="A34" s="264" t="s">
        <v>318</v>
      </c>
      <c r="B34" s="36"/>
      <c r="C34" s="44">
        <v>257</v>
      </c>
      <c r="D34" s="264"/>
      <c r="E34" s="163">
        <v>0</v>
      </c>
      <c r="F34" s="164">
        <f t="shared" si="3"/>
        <v>0</v>
      </c>
      <c r="G34" s="165">
        <v>0</v>
      </c>
      <c r="H34" s="165">
        <v>0</v>
      </c>
      <c r="I34" s="165">
        <v>0</v>
      </c>
      <c r="J34" s="165">
        <v>0</v>
      </c>
      <c r="K34" s="165">
        <v>0</v>
      </c>
      <c r="L34" s="165">
        <v>0</v>
      </c>
      <c r="M34" s="166">
        <v>0</v>
      </c>
      <c r="N34" s="57"/>
    </row>
    <row r="35" spans="1:14">
      <c r="A35" s="264" t="s">
        <v>319</v>
      </c>
      <c r="B35" s="36"/>
      <c r="C35" s="44" t="s">
        <v>320</v>
      </c>
      <c r="D35" s="264"/>
      <c r="E35" s="163">
        <v>0</v>
      </c>
      <c r="F35" s="164">
        <f t="shared" si="3"/>
        <v>0</v>
      </c>
      <c r="G35" s="165">
        <v>0</v>
      </c>
      <c r="H35" s="165">
        <v>0</v>
      </c>
      <c r="I35" s="165">
        <v>0</v>
      </c>
      <c r="J35" s="165">
        <v>0</v>
      </c>
      <c r="K35" s="165">
        <v>0</v>
      </c>
      <c r="L35" s="165">
        <v>0</v>
      </c>
      <c r="M35" s="166">
        <v>0</v>
      </c>
      <c r="N35" s="57"/>
    </row>
    <row r="36" spans="1:14" s="381" customFormat="1">
      <c r="A36" s="265" t="s">
        <v>321</v>
      </c>
      <c r="B36" s="36"/>
      <c r="C36" s="266" t="s">
        <v>322</v>
      </c>
      <c r="D36" s="265"/>
      <c r="E36" s="163">
        <v>0</v>
      </c>
      <c r="F36" s="309">
        <f>SUM(G36:M36)</f>
        <v>0</v>
      </c>
      <c r="G36" s="165">
        <v>0</v>
      </c>
      <c r="H36" s="165">
        <v>0</v>
      </c>
      <c r="I36" s="165">
        <v>0</v>
      </c>
      <c r="J36" s="165">
        <v>0</v>
      </c>
      <c r="K36" s="165">
        <v>0</v>
      </c>
      <c r="L36" s="165">
        <v>0</v>
      </c>
      <c r="M36" s="166">
        <v>0</v>
      </c>
      <c r="N36" s="57"/>
    </row>
    <row r="37" spans="1:14">
      <c r="A37" s="265" t="s">
        <v>323</v>
      </c>
      <c r="B37" s="390"/>
      <c r="C37" s="266" t="s">
        <v>324</v>
      </c>
      <c r="D37" s="265"/>
      <c r="E37" s="318">
        <v>0</v>
      </c>
      <c r="F37" s="309">
        <f>SUM(G37:M37)</f>
        <v>0</v>
      </c>
      <c r="G37" s="165">
        <v>0</v>
      </c>
      <c r="H37" s="165">
        <v>0</v>
      </c>
      <c r="I37" s="165">
        <v>0</v>
      </c>
      <c r="J37" s="165">
        <f>-14+9+5</f>
        <v>0</v>
      </c>
      <c r="K37" s="165">
        <v>0</v>
      </c>
      <c r="L37" s="165">
        <v>0</v>
      </c>
      <c r="M37" s="166">
        <v>0</v>
      </c>
      <c r="N37" s="325"/>
    </row>
    <row r="38" spans="1:14">
      <c r="A38" s="40" t="s">
        <v>326</v>
      </c>
      <c r="B38" s="265"/>
      <c r="C38" s="266"/>
      <c r="D38" s="267"/>
      <c r="E38" s="42">
        <f>SUM(E24:E37)</f>
        <v>6</v>
      </c>
      <c r="F38" s="43">
        <f t="shared" ref="F38:M38" si="4">SUM(F24:F37)</f>
        <v>6</v>
      </c>
      <c r="G38" s="43">
        <f t="shared" si="4"/>
        <v>0</v>
      </c>
      <c r="H38" s="43">
        <f t="shared" si="4"/>
        <v>0</v>
      </c>
      <c r="I38" s="43">
        <f t="shared" si="4"/>
        <v>0</v>
      </c>
      <c r="J38" s="43">
        <f t="shared" si="4"/>
        <v>6</v>
      </c>
      <c r="K38" s="43">
        <f t="shared" si="4"/>
        <v>0</v>
      </c>
      <c r="L38" s="43">
        <f t="shared" si="4"/>
        <v>0</v>
      </c>
      <c r="M38" s="43">
        <f t="shared" si="4"/>
        <v>0</v>
      </c>
      <c r="N38" s="57"/>
    </row>
    <row r="39" spans="1:14" s="151" customFormat="1">
      <c r="A39" s="40" t="s">
        <v>327</v>
      </c>
      <c r="B39" s="51"/>
      <c r="C39" s="149"/>
      <c r="D39" s="267"/>
      <c r="E39" s="241"/>
      <c r="F39" s="240">
        <v>0</v>
      </c>
      <c r="G39" s="240"/>
      <c r="H39" s="240">
        <v>0</v>
      </c>
      <c r="I39" s="240"/>
      <c r="J39" s="240"/>
      <c r="K39" s="240"/>
      <c r="L39" s="240"/>
      <c r="M39" s="240"/>
      <c r="N39" s="355"/>
    </row>
    <row r="40" spans="1:14">
      <c r="A40" s="40" t="s">
        <v>328</v>
      </c>
      <c r="B40" s="46"/>
      <c r="C40" s="47"/>
      <c r="D40" s="177">
        <f>D38+D22+D16</f>
        <v>0.12</v>
      </c>
      <c r="E40" s="42">
        <f>E38+E22+E16-E39</f>
        <v>212</v>
      </c>
      <c r="F40" s="175">
        <f t="shared" ref="F40:M40" si="5">F38+F22+F16-F39</f>
        <v>215</v>
      </c>
      <c r="G40" s="175">
        <f t="shared" si="5"/>
        <v>0</v>
      </c>
      <c r="H40" s="175">
        <f t="shared" si="5"/>
        <v>0</v>
      </c>
      <c r="I40" s="175">
        <f t="shared" si="5"/>
        <v>0</v>
      </c>
      <c r="J40" s="175">
        <f t="shared" si="5"/>
        <v>215</v>
      </c>
      <c r="K40" s="175">
        <f t="shared" si="5"/>
        <v>0</v>
      </c>
      <c r="L40" s="175">
        <f t="shared" si="5"/>
        <v>0</v>
      </c>
      <c r="M40" s="175">
        <f t="shared" si="5"/>
        <v>0</v>
      </c>
      <c r="N40" s="176"/>
    </row>
    <row r="43" spans="1:14" s="381" customFormat="1" ht="15.6" thickBot="1">
      <c r="A43" s="31"/>
      <c r="B43" s="31"/>
      <c r="C43" s="32"/>
      <c r="D43" s="31"/>
      <c r="E43" s="31"/>
      <c r="F43" s="31"/>
      <c r="G43" s="31"/>
      <c r="H43" s="31"/>
      <c r="I43" s="31"/>
      <c r="J43" s="181"/>
      <c r="K43" s="31"/>
      <c r="L43" s="31"/>
      <c r="M43" s="31"/>
      <c r="N43" s="562"/>
    </row>
    <row r="44" spans="1:14" s="381" customFormat="1" ht="15.6">
      <c r="A44" s="764" t="s">
        <v>330</v>
      </c>
      <c r="B44" s="765"/>
      <c r="C44" s="765"/>
      <c r="D44" s="765"/>
      <c r="E44" s="765"/>
      <c r="F44" s="765"/>
      <c r="G44" s="581"/>
      <c r="H44" s="31"/>
      <c r="I44" s="31"/>
      <c r="J44" s="31"/>
      <c r="K44" s="31"/>
      <c r="L44" s="31"/>
      <c r="M44" s="31"/>
      <c r="N44" s="562"/>
    </row>
    <row r="45" spans="1:14" s="381" customFormat="1" ht="15.6">
      <c r="A45" s="738"/>
      <c r="B45" s="739"/>
      <c r="C45" s="739"/>
      <c r="D45" s="739"/>
      <c r="E45" s="739"/>
      <c r="F45" s="739"/>
      <c r="G45" s="582"/>
      <c r="H45" s="31"/>
      <c r="I45" s="31"/>
      <c r="J45" s="31"/>
      <c r="K45" s="31"/>
      <c r="L45" s="31"/>
      <c r="M45" s="31"/>
      <c r="N45" s="562"/>
    </row>
    <row r="46" spans="1:14" s="381" customFormat="1">
      <c r="A46" s="740" t="s">
        <v>331</v>
      </c>
      <c r="B46" s="741"/>
      <c r="C46" s="583"/>
      <c r="D46" s="583"/>
      <c r="E46" s="583"/>
      <c r="F46" s="583"/>
      <c r="G46" s="582"/>
      <c r="H46" s="31"/>
      <c r="I46" s="31"/>
      <c r="J46" s="31"/>
      <c r="K46" s="31"/>
      <c r="L46" s="31"/>
      <c r="M46" s="31"/>
      <c r="N46" s="562"/>
    </row>
    <row r="47" spans="1:14" s="381" customFormat="1">
      <c r="A47" s="584" t="s">
        <v>480</v>
      </c>
      <c r="B47" s="585">
        <f>E40</f>
        <v>212</v>
      </c>
      <c r="C47" s="586"/>
      <c r="D47" s="587"/>
      <c r="E47" s="587"/>
      <c r="F47" s="587"/>
      <c r="G47" s="582"/>
      <c r="H47" s="31"/>
      <c r="I47" s="31"/>
      <c r="J47" s="31"/>
      <c r="K47" s="31"/>
      <c r="L47" s="31"/>
      <c r="M47" s="31"/>
      <c r="N47" s="562"/>
    </row>
    <row r="48" spans="1:14" s="381" customFormat="1">
      <c r="A48" s="588" t="s">
        <v>481</v>
      </c>
      <c r="B48" s="589">
        <f>F40</f>
        <v>215</v>
      </c>
      <c r="C48" s="586"/>
      <c r="D48" s="587"/>
      <c r="E48" s="587"/>
      <c r="F48" s="587"/>
      <c r="G48" s="582"/>
      <c r="H48" s="31"/>
      <c r="I48" s="31"/>
      <c r="J48" s="31"/>
      <c r="K48" s="31"/>
      <c r="L48" s="31"/>
      <c r="M48" s="31"/>
      <c r="N48" s="562"/>
    </row>
    <row r="49" spans="1:14" s="381" customFormat="1">
      <c r="A49" s="590" t="s">
        <v>334</v>
      </c>
      <c r="B49" s="591">
        <f>B48-B47</f>
        <v>3</v>
      </c>
      <c r="C49" s="586"/>
      <c r="D49" s="587"/>
      <c r="E49" s="587"/>
      <c r="F49" s="587"/>
      <c r="G49" s="582"/>
      <c r="H49" s="31"/>
      <c r="I49" s="31"/>
      <c r="J49" s="31"/>
      <c r="K49" s="31"/>
      <c r="L49" s="31"/>
      <c r="M49" s="31"/>
      <c r="N49" s="562"/>
    </row>
    <row r="50" spans="1:14" s="381" customFormat="1">
      <c r="A50" s="590" t="s">
        <v>335</v>
      </c>
      <c r="B50" s="592">
        <f>B49/B47</f>
        <v>1.4150943396226415E-2</v>
      </c>
      <c r="C50" s="586"/>
      <c r="D50" s="587"/>
      <c r="E50" s="587"/>
      <c r="F50" s="587"/>
      <c r="G50" s="582"/>
      <c r="H50" s="31"/>
      <c r="I50" s="31"/>
      <c r="J50" s="31"/>
      <c r="K50" s="31"/>
      <c r="L50" s="31"/>
      <c r="M50" s="31"/>
      <c r="N50" s="562"/>
    </row>
    <row r="51" spans="1:14" s="381" customFormat="1">
      <c r="A51" s="593"/>
      <c r="B51" s="587"/>
      <c r="C51" s="686"/>
      <c r="D51" s="587"/>
      <c r="E51" s="587"/>
      <c r="F51" s="587"/>
      <c r="G51" s="582"/>
      <c r="H51" s="31"/>
      <c r="I51" s="31"/>
      <c r="J51" s="31"/>
      <c r="K51" s="31"/>
      <c r="L51" s="31"/>
      <c r="M51" s="31"/>
      <c r="N51" s="562"/>
    </row>
    <row r="52" spans="1:14" s="381" customFormat="1">
      <c r="A52" s="731" t="s">
        <v>336</v>
      </c>
      <c r="B52" s="732"/>
      <c r="C52" s="732"/>
      <c r="D52" s="732"/>
      <c r="E52" s="732"/>
      <c r="F52" s="732"/>
      <c r="G52" s="582"/>
      <c r="H52" s="31"/>
      <c r="I52" s="31"/>
      <c r="J52" s="31"/>
      <c r="K52" s="31"/>
      <c r="L52" s="31"/>
      <c r="M52" s="31"/>
      <c r="N52" s="562"/>
    </row>
    <row r="53" spans="1:14" s="381" customFormat="1" ht="28.95" customHeight="1">
      <c r="A53" s="742" t="s">
        <v>931</v>
      </c>
      <c r="B53" s="743"/>
      <c r="C53" s="743"/>
      <c r="D53" s="743"/>
      <c r="E53" s="743"/>
      <c r="F53" s="744"/>
      <c r="G53" s="582"/>
      <c r="H53" s="31"/>
      <c r="I53" s="31"/>
      <c r="J53" s="31"/>
      <c r="K53" s="31"/>
      <c r="L53" s="31"/>
      <c r="M53" s="31"/>
      <c r="N53" s="562"/>
    </row>
    <row r="54" spans="1:14" s="381" customFormat="1">
      <c r="A54" s="594"/>
      <c r="B54" s="595"/>
      <c r="C54" s="595"/>
      <c r="D54" s="595"/>
      <c r="E54" s="595"/>
      <c r="F54" s="595"/>
      <c r="G54" s="582"/>
      <c r="H54" s="31"/>
      <c r="I54" s="31"/>
      <c r="J54" s="31"/>
      <c r="K54" s="31"/>
      <c r="L54" s="31"/>
      <c r="M54" s="31"/>
      <c r="N54" s="562"/>
    </row>
    <row r="55" spans="1:14" s="381" customFormat="1">
      <c r="A55" s="596" t="s">
        <v>337</v>
      </c>
      <c r="B55" s="587"/>
      <c r="C55" s="686"/>
      <c r="D55" s="587"/>
      <c r="E55" s="587"/>
      <c r="F55" s="587"/>
      <c r="G55" s="582"/>
      <c r="H55" s="31"/>
      <c r="I55" s="31"/>
      <c r="J55" s="31"/>
      <c r="K55" s="31"/>
      <c r="L55" s="31"/>
      <c r="M55" s="31"/>
      <c r="N55" s="562"/>
    </row>
    <row r="56" spans="1:14" s="381" customFormat="1" ht="210.8" customHeight="1">
      <c r="A56" s="742" t="s">
        <v>932</v>
      </c>
      <c r="B56" s="736"/>
      <c r="C56" s="736"/>
      <c r="D56" s="736"/>
      <c r="E56" s="736"/>
      <c r="F56" s="737"/>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365</v>
      </c>
      <c r="B58" s="732"/>
      <c r="C58" s="732"/>
      <c r="D58" s="732"/>
      <c r="E58" s="732"/>
      <c r="F58" s="732"/>
      <c r="G58" s="582"/>
      <c r="H58" s="31"/>
      <c r="I58" s="31"/>
      <c r="J58" s="31"/>
      <c r="K58" s="31"/>
      <c r="L58" s="31"/>
      <c r="M58" s="31"/>
      <c r="N58" s="562"/>
    </row>
    <row r="59" spans="1:14" s="381" customFormat="1" ht="18.600000000000001" customHeight="1">
      <c r="A59" s="733" t="s">
        <v>461</v>
      </c>
      <c r="B59" s="734"/>
      <c r="C59" s="734"/>
      <c r="D59" s="734"/>
      <c r="E59" s="734"/>
      <c r="F59" s="734"/>
      <c r="G59" s="582"/>
      <c r="H59" s="31"/>
      <c r="I59" s="31"/>
      <c r="J59" s="31"/>
      <c r="K59" s="31"/>
      <c r="L59" s="31"/>
      <c r="M59" s="31"/>
      <c r="N59" s="562"/>
    </row>
    <row r="60" spans="1:14" s="381" customFormat="1" ht="328.1" customHeight="1">
      <c r="A60" s="742" t="s">
        <v>933</v>
      </c>
      <c r="B60" s="736"/>
      <c r="C60" s="736"/>
      <c r="D60" s="736"/>
      <c r="E60" s="736"/>
      <c r="F60" s="737"/>
      <c r="G60" s="582"/>
      <c r="H60" s="31"/>
      <c r="I60" s="31"/>
      <c r="J60" s="31"/>
      <c r="K60" s="31"/>
      <c r="L60" s="31"/>
      <c r="M60" s="31"/>
      <c r="N60" s="562"/>
    </row>
    <row r="61" spans="1:14" s="381" customFormat="1">
      <c r="A61" s="596"/>
      <c r="B61" s="587"/>
      <c r="C61" s="686"/>
      <c r="D61" s="587"/>
      <c r="E61" s="587"/>
      <c r="F61" s="587"/>
      <c r="G61" s="582"/>
      <c r="H61" s="31"/>
      <c r="I61" s="31"/>
      <c r="J61" s="31"/>
      <c r="K61" s="31"/>
      <c r="L61" s="31"/>
      <c r="M61" s="31"/>
      <c r="N61" s="562"/>
    </row>
    <row r="62" spans="1:14" s="381" customFormat="1">
      <c r="A62" s="731" t="s">
        <v>340</v>
      </c>
      <c r="B62" s="732"/>
      <c r="C62" s="732"/>
      <c r="D62" s="732"/>
      <c r="E62" s="732"/>
      <c r="F62" s="587"/>
      <c r="G62" s="582"/>
      <c r="H62" s="31"/>
      <c r="I62" s="31"/>
      <c r="J62" s="31"/>
      <c r="K62" s="31"/>
      <c r="L62" s="31"/>
      <c r="M62" s="31"/>
      <c r="N62" s="562"/>
    </row>
    <row r="63" spans="1:14" s="381" customFormat="1" ht="81.099999999999994" customHeight="1">
      <c r="A63" s="742" t="s">
        <v>934</v>
      </c>
      <c r="B63" s="743"/>
      <c r="C63" s="743"/>
      <c r="D63" s="743"/>
      <c r="E63" s="743"/>
      <c r="F63" s="744"/>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596" t="s">
        <v>341</v>
      </c>
      <c r="B65" s="587"/>
      <c r="C65" s="686"/>
      <c r="D65" s="587"/>
      <c r="E65" s="587"/>
      <c r="F65" s="587"/>
      <c r="G65" s="582"/>
      <c r="H65" s="31"/>
      <c r="I65" s="31"/>
      <c r="J65" s="31"/>
      <c r="K65" s="31"/>
      <c r="L65" s="31"/>
      <c r="M65" s="31"/>
      <c r="N65" s="562"/>
    </row>
    <row r="66" spans="1:14" s="381" customFormat="1">
      <c r="A66" s="597" t="s">
        <v>342</v>
      </c>
      <c r="B66" s="587"/>
      <c r="C66" s="686"/>
      <c r="D66" s="587"/>
      <c r="E66" s="587"/>
      <c r="F66" s="587"/>
      <c r="G66" s="582"/>
      <c r="H66" s="31"/>
      <c r="I66" s="31"/>
      <c r="J66" s="31"/>
      <c r="K66" s="31"/>
      <c r="L66" s="31"/>
      <c r="M66" s="31"/>
      <c r="N66" s="562"/>
    </row>
    <row r="67" spans="1:14" s="381" customFormat="1" ht="26.2" customHeight="1">
      <c r="A67" s="719" t="s">
        <v>368</v>
      </c>
      <c r="B67" s="720"/>
      <c r="C67" s="720"/>
      <c r="D67" s="720"/>
      <c r="E67" s="720"/>
      <c r="F67" s="720"/>
      <c r="G67" s="582"/>
      <c r="H67" s="31"/>
      <c r="I67" s="31"/>
      <c r="J67" s="31"/>
      <c r="K67" s="31"/>
      <c r="L67" s="31"/>
      <c r="M67" s="31"/>
      <c r="N67" s="562"/>
    </row>
    <row r="68" spans="1:14" s="381" customFormat="1" ht="26.2" customHeight="1">
      <c r="A68" s="742" t="s">
        <v>935</v>
      </c>
      <c r="B68" s="743"/>
      <c r="C68" s="743"/>
      <c r="D68" s="743"/>
      <c r="E68" s="743"/>
      <c r="F68" s="744"/>
      <c r="G68" s="582"/>
      <c r="H68" s="31"/>
      <c r="I68" s="31"/>
      <c r="J68" s="31"/>
      <c r="K68" s="31"/>
      <c r="L68" s="31"/>
      <c r="M68" s="31"/>
      <c r="N68" s="562"/>
    </row>
    <row r="69" spans="1:14" s="381" customFormat="1">
      <c r="A69" s="724"/>
      <c r="B69" s="725"/>
      <c r="C69" s="725"/>
      <c r="D69" s="725"/>
      <c r="E69" s="725"/>
      <c r="F69" s="725"/>
      <c r="G69" s="582"/>
      <c r="H69" s="31"/>
      <c r="I69" s="31"/>
      <c r="J69" s="31"/>
      <c r="K69" s="31"/>
      <c r="L69" s="31"/>
      <c r="M69" s="31"/>
      <c r="N69" s="562"/>
    </row>
    <row r="70" spans="1:14" s="381" customFormat="1">
      <c r="A70" s="597" t="s">
        <v>344</v>
      </c>
      <c r="B70" s="587"/>
      <c r="C70" s="686"/>
      <c r="D70" s="587"/>
      <c r="E70" s="587"/>
      <c r="F70" s="587"/>
      <c r="G70" s="582"/>
      <c r="H70" s="31"/>
      <c r="I70" s="31"/>
      <c r="J70" s="31"/>
      <c r="K70" s="31"/>
      <c r="L70" s="31"/>
      <c r="M70" s="31"/>
      <c r="N70" s="562"/>
    </row>
    <row r="71" spans="1:14" s="381" customFormat="1" ht="42.35" customHeight="1">
      <c r="A71" s="726" t="s">
        <v>345</v>
      </c>
      <c r="B71" s="727"/>
      <c r="C71" s="727"/>
      <c r="D71" s="727"/>
      <c r="E71" s="727"/>
      <c r="F71" s="727"/>
      <c r="G71" s="582"/>
      <c r="H71" s="31"/>
      <c r="I71" s="31"/>
      <c r="J71" s="31"/>
      <c r="K71" s="31"/>
      <c r="L71" s="31"/>
      <c r="M71" s="31"/>
      <c r="N71" s="562"/>
    </row>
    <row r="72" spans="1:14" s="381" customFormat="1" ht="352.8" customHeight="1">
      <c r="A72" s="834" t="s">
        <v>936</v>
      </c>
      <c r="B72" s="835"/>
      <c r="C72" s="835"/>
      <c r="D72" s="835"/>
      <c r="E72" s="835"/>
      <c r="F72" s="836"/>
      <c r="G72" s="582"/>
      <c r="H72" s="31"/>
      <c r="I72" s="31"/>
      <c r="J72" s="31"/>
      <c r="K72" s="31"/>
      <c r="L72" s="31"/>
      <c r="M72" s="31"/>
      <c r="N72" s="562"/>
    </row>
    <row r="73" spans="1:14" s="381" customFormat="1" ht="15.6" thickBot="1">
      <c r="A73" s="598"/>
      <c r="B73" s="599"/>
      <c r="C73" s="600"/>
      <c r="D73" s="599"/>
      <c r="E73" s="599"/>
      <c r="F73" s="599"/>
      <c r="G73" s="601"/>
      <c r="H73" s="31"/>
      <c r="I73" s="31"/>
      <c r="J73" s="31"/>
      <c r="K73" s="31"/>
      <c r="L73" s="31"/>
      <c r="M73" s="31"/>
      <c r="N73" s="562"/>
    </row>
    <row r="74" spans="1:14" s="381" customFormat="1">
      <c r="A74" s="31"/>
      <c r="B74" s="31"/>
      <c r="C74" s="32"/>
      <c r="D74" s="31"/>
      <c r="E74" s="31"/>
      <c r="F74" s="31"/>
      <c r="G74" s="31"/>
      <c r="H74" s="31"/>
      <c r="I74" s="31"/>
      <c r="J74" s="31"/>
      <c r="K74" s="31"/>
      <c r="L74" s="31"/>
      <c r="M74" s="31"/>
      <c r="N74" s="562"/>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69" orientation="landscape" r:id="rId1"/>
  <headerFooter>
    <oddHeader xml:space="preserve">&amp;CDRAFT NOT FOR DISTRIBUTION, INTERNAL USE ONLY
</oddHead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2" tint="-0.249977111117893"/>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9" width="7.140625" customWidth="1"/>
    <col min="10" max="10" width="9.28515625" customWidth="1"/>
    <col min="11" max="11" width="7.7109375" customWidth="1"/>
    <col min="12" max="12" width="9.7109375" customWidth="1"/>
    <col min="13" max="13" width="9.140625" customWidth="1"/>
    <col min="14" max="14" width="52.42578125" customWidth="1"/>
  </cols>
  <sheetData>
    <row r="1" spans="1:14" ht="15.6">
      <c r="A1" s="745" t="s">
        <v>482</v>
      </c>
      <c r="B1" s="745"/>
      <c r="C1" s="745"/>
      <c r="D1" s="745"/>
      <c r="E1" s="745"/>
      <c r="F1" s="745"/>
      <c r="G1" s="745"/>
      <c r="H1" s="745"/>
      <c r="I1" s="745"/>
      <c r="J1" s="745"/>
      <c r="K1" s="745"/>
      <c r="L1" s="745"/>
      <c r="M1" s="745"/>
      <c r="N1" s="745"/>
    </row>
    <row r="2" spans="1:14">
      <c r="A2" s="65" t="s">
        <v>937</v>
      </c>
      <c r="B2" s="381"/>
      <c r="C2" s="687"/>
      <c r="D2" s="381"/>
      <c r="E2" s="381"/>
      <c r="F2" s="381"/>
      <c r="G2" s="381"/>
      <c r="H2" s="381"/>
      <c r="I2" s="381"/>
      <c r="J2" s="381"/>
      <c r="K2" s="381"/>
      <c r="L2" s="381"/>
      <c r="M2" s="381"/>
      <c r="N2" s="381"/>
    </row>
    <row r="3" spans="1:14">
      <c r="A3" s="65" t="s">
        <v>938</v>
      </c>
      <c r="B3" s="381"/>
      <c r="C3" s="687"/>
      <c r="D3" s="381"/>
      <c r="E3" s="29"/>
      <c r="F3" s="29"/>
      <c r="G3" s="29"/>
      <c r="H3" s="554" t="s">
        <v>275</v>
      </c>
      <c r="I3" s="381"/>
      <c r="J3" s="381"/>
      <c r="K3" s="381"/>
      <c r="L3" s="381"/>
      <c r="M3" s="381"/>
      <c r="N3" s="381"/>
    </row>
    <row r="4" spans="1:14">
      <c r="A4" s="68" t="s">
        <v>939</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163">
        <v>0</v>
      </c>
      <c r="F7" s="164">
        <f>SUM(G7:M7)</f>
        <v>0</v>
      </c>
      <c r="G7" s="165">
        <v>0</v>
      </c>
      <c r="H7" s="165">
        <v>0</v>
      </c>
      <c r="I7" s="165">
        <v>0</v>
      </c>
      <c r="J7" s="165">
        <v>0</v>
      </c>
      <c r="K7" s="165">
        <v>0</v>
      </c>
      <c r="L7" s="165">
        <v>0</v>
      </c>
      <c r="M7" s="166">
        <v>0</v>
      </c>
      <c r="N7" s="57"/>
    </row>
    <row r="8" spans="1:14" ht="15.05" customHeight="1">
      <c r="A8" s="36" t="s">
        <v>286</v>
      </c>
      <c r="B8" s="36"/>
      <c r="C8" s="37" t="s">
        <v>287</v>
      </c>
      <c r="D8" s="39"/>
      <c r="E8" s="163">
        <v>0</v>
      </c>
      <c r="F8" s="164">
        <f t="shared" ref="F8:F15" si="0">SUM(G8:M8)</f>
        <v>0</v>
      </c>
      <c r="G8" s="165">
        <v>0</v>
      </c>
      <c r="H8" s="165">
        <v>0</v>
      </c>
      <c r="I8" s="165">
        <v>0</v>
      </c>
      <c r="J8" s="165">
        <v>0</v>
      </c>
      <c r="K8" s="165">
        <v>0</v>
      </c>
      <c r="L8" s="165">
        <v>0</v>
      </c>
      <c r="M8" s="166">
        <v>0</v>
      </c>
      <c r="N8" s="57"/>
    </row>
    <row r="9" spans="1:14" ht="15.05" customHeight="1">
      <c r="A9" s="36" t="s">
        <v>286</v>
      </c>
      <c r="B9" s="264"/>
      <c r="C9" s="37" t="s">
        <v>287</v>
      </c>
      <c r="D9" s="39"/>
      <c r="E9" s="163">
        <v>0</v>
      </c>
      <c r="F9" s="164">
        <f t="shared" si="0"/>
        <v>0</v>
      </c>
      <c r="G9" s="165">
        <v>0</v>
      </c>
      <c r="H9" s="165">
        <v>0</v>
      </c>
      <c r="I9" s="165">
        <v>0</v>
      </c>
      <c r="J9" s="165">
        <v>0</v>
      </c>
      <c r="K9" s="165">
        <v>0</v>
      </c>
      <c r="L9" s="165">
        <v>0</v>
      </c>
      <c r="M9" s="166">
        <v>0</v>
      </c>
      <c r="N9" s="57"/>
    </row>
    <row r="10" spans="1:14" ht="15.05" customHeight="1">
      <c r="A10" s="36" t="s">
        <v>286</v>
      </c>
      <c r="B10" s="264"/>
      <c r="C10" s="37" t="s">
        <v>287</v>
      </c>
      <c r="D10" s="39"/>
      <c r="E10" s="163">
        <v>0</v>
      </c>
      <c r="F10" s="164">
        <f t="shared" si="0"/>
        <v>0</v>
      </c>
      <c r="G10" s="165">
        <v>0</v>
      </c>
      <c r="H10" s="165">
        <v>0</v>
      </c>
      <c r="I10" s="165">
        <v>0</v>
      </c>
      <c r="J10" s="165">
        <v>0</v>
      </c>
      <c r="K10" s="165">
        <v>0</v>
      </c>
      <c r="L10" s="165">
        <v>0</v>
      </c>
      <c r="M10" s="166">
        <v>0</v>
      </c>
      <c r="N10" s="57"/>
    </row>
    <row r="11" spans="1:14" ht="15.05" customHeight="1">
      <c r="A11" s="36" t="s">
        <v>286</v>
      </c>
      <c r="B11" s="36"/>
      <c r="C11" s="37" t="s">
        <v>287</v>
      </c>
      <c r="D11" s="39"/>
      <c r="E11" s="163">
        <v>0</v>
      </c>
      <c r="F11" s="164">
        <f t="shared" si="0"/>
        <v>0</v>
      </c>
      <c r="G11" s="165">
        <v>0</v>
      </c>
      <c r="H11" s="165">
        <v>0</v>
      </c>
      <c r="I11" s="165">
        <v>0</v>
      </c>
      <c r="J11" s="165">
        <v>0</v>
      </c>
      <c r="K11" s="165">
        <v>0</v>
      </c>
      <c r="L11" s="165">
        <v>0</v>
      </c>
      <c r="M11" s="166">
        <v>0</v>
      </c>
      <c r="N11" s="57"/>
    </row>
    <row r="12" spans="1:14" ht="15.05" customHeight="1">
      <c r="A12" s="36" t="s">
        <v>286</v>
      </c>
      <c r="B12" s="264"/>
      <c r="C12" s="37" t="s">
        <v>287</v>
      </c>
      <c r="D12" s="39"/>
      <c r="E12" s="163">
        <v>0</v>
      </c>
      <c r="F12" s="164">
        <f t="shared" si="0"/>
        <v>0</v>
      </c>
      <c r="G12" s="165">
        <v>0</v>
      </c>
      <c r="H12" s="165">
        <v>0</v>
      </c>
      <c r="I12" s="165">
        <v>0</v>
      </c>
      <c r="J12" s="165">
        <v>0</v>
      </c>
      <c r="K12" s="165">
        <v>0</v>
      </c>
      <c r="L12" s="165">
        <v>0</v>
      </c>
      <c r="M12" s="166">
        <v>0</v>
      </c>
      <c r="N12" s="57"/>
    </row>
    <row r="13" spans="1:14">
      <c r="A13" s="36" t="s">
        <v>286</v>
      </c>
      <c r="B13" s="264"/>
      <c r="C13" s="37" t="s">
        <v>287</v>
      </c>
      <c r="D13" s="39"/>
      <c r="E13" s="163">
        <v>0</v>
      </c>
      <c r="F13" s="164">
        <f t="shared" si="0"/>
        <v>0</v>
      </c>
      <c r="G13" s="165">
        <v>0</v>
      </c>
      <c r="H13" s="165">
        <v>0</v>
      </c>
      <c r="I13" s="165">
        <v>0</v>
      </c>
      <c r="J13" s="165">
        <v>0</v>
      </c>
      <c r="K13" s="165">
        <v>0</v>
      </c>
      <c r="L13" s="165">
        <v>0</v>
      </c>
      <c r="M13" s="166">
        <v>0</v>
      </c>
      <c r="N13" s="57"/>
    </row>
    <row r="14" spans="1:14">
      <c r="A14" s="36" t="s">
        <v>286</v>
      </c>
      <c r="B14" s="264"/>
      <c r="C14" s="37" t="s">
        <v>287</v>
      </c>
      <c r="D14" s="39"/>
      <c r="E14" s="163">
        <v>0</v>
      </c>
      <c r="F14" s="164">
        <f t="shared" si="0"/>
        <v>0</v>
      </c>
      <c r="G14" s="165">
        <v>0</v>
      </c>
      <c r="H14" s="165">
        <v>0</v>
      </c>
      <c r="I14" s="165">
        <v>0</v>
      </c>
      <c r="J14" s="165">
        <v>0</v>
      </c>
      <c r="K14" s="165">
        <v>0</v>
      </c>
      <c r="L14" s="165">
        <v>0</v>
      </c>
      <c r="M14" s="166">
        <v>0</v>
      </c>
      <c r="N14" s="57"/>
    </row>
    <row r="15" spans="1:14">
      <c r="A15" s="36" t="s">
        <v>286</v>
      </c>
      <c r="B15" s="265"/>
      <c r="C15" s="37" t="s">
        <v>287</v>
      </c>
      <c r="D15" s="39"/>
      <c r="E15" s="163">
        <v>0</v>
      </c>
      <c r="F15" s="164">
        <f t="shared" si="0"/>
        <v>0</v>
      </c>
      <c r="G15" s="165">
        <v>0</v>
      </c>
      <c r="H15" s="165">
        <v>0</v>
      </c>
      <c r="I15" s="165">
        <v>0</v>
      </c>
      <c r="J15" s="165">
        <v>0</v>
      </c>
      <c r="K15" s="165">
        <v>0</v>
      </c>
      <c r="L15" s="165">
        <v>0</v>
      </c>
      <c r="M15" s="166">
        <v>0</v>
      </c>
      <c r="N15" s="57"/>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254"/>
    </row>
    <row r="17" spans="1:14">
      <c r="A17" s="69" t="s">
        <v>289</v>
      </c>
      <c r="B17" s="70"/>
      <c r="C17" s="71"/>
      <c r="D17" s="70"/>
      <c r="E17" s="70"/>
      <c r="F17" s="70"/>
      <c r="G17" s="70"/>
      <c r="H17" s="70"/>
      <c r="I17" s="70"/>
      <c r="J17" s="70"/>
      <c r="K17" s="70"/>
      <c r="L17" s="70"/>
      <c r="M17" s="70"/>
      <c r="N17" s="70"/>
    </row>
    <row r="18" spans="1:14" ht="213.05" customHeight="1">
      <c r="A18" s="73" t="s">
        <v>940</v>
      </c>
      <c r="B18" s="264" t="s">
        <v>487</v>
      </c>
      <c r="C18" s="44">
        <v>253</v>
      </c>
      <c r="D18" s="45"/>
      <c r="E18" s="163">
        <v>75</v>
      </c>
      <c r="F18" s="164">
        <f>SUM(G18:M18)</f>
        <v>75</v>
      </c>
      <c r="G18" s="165">
        <v>0</v>
      </c>
      <c r="H18" s="165">
        <v>0</v>
      </c>
      <c r="I18" s="165">
        <v>0</v>
      </c>
      <c r="J18" s="165">
        <v>0</v>
      </c>
      <c r="K18" s="165">
        <v>0</v>
      </c>
      <c r="L18" s="165">
        <v>75</v>
      </c>
      <c r="M18" s="166">
        <v>0</v>
      </c>
      <c r="N18" s="327" t="s">
        <v>941</v>
      </c>
    </row>
    <row r="19" spans="1:14">
      <c r="A19" s="264" t="s">
        <v>355</v>
      </c>
      <c r="B19" s="264"/>
      <c r="C19" s="44">
        <v>253</v>
      </c>
      <c r="D19" s="45"/>
      <c r="E19" s="163">
        <v>0</v>
      </c>
      <c r="F19" s="164">
        <f>SUM(G19:M19)</f>
        <v>0</v>
      </c>
      <c r="G19" s="165">
        <v>0</v>
      </c>
      <c r="H19" s="165">
        <v>0</v>
      </c>
      <c r="I19" s="165">
        <v>0</v>
      </c>
      <c r="J19" s="165">
        <v>0</v>
      </c>
      <c r="K19" s="165">
        <v>0</v>
      </c>
      <c r="L19" s="165">
        <v>0</v>
      </c>
      <c r="M19" s="166">
        <v>0</v>
      </c>
      <c r="N19" s="36"/>
    </row>
    <row r="20" spans="1:14">
      <c r="A20" s="264" t="s">
        <v>355</v>
      </c>
      <c r="B20" s="264"/>
      <c r="C20" s="44">
        <v>253</v>
      </c>
      <c r="D20" s="267"/>
      <c r="E20" s="163">
        <v>0</v>
      </c>
      <c r="F20" s="164">
        <f>SUM(G20:M20)</f>
        <v>0</v>
      </c>
      <c r="G20" s="165">
        <v>0</v>
      </c>
      <c r="H20" s="165">
        <v>0</v>
      </c>
      <c r="I20" s="165">
        <v>0</v>
      </c>
      <c r="J20" s="165">
        <v>0</v>
      </c>
      <c r="K20" s="165">
        <v>0</v>
      </c>
      <c r="L20" s="165">
        <v>0</v>
      </c>
      <c r="M20" s="166">
        <v>0</v>
      </c>
      <c r="N20" s="57"/>
    </row>
    <row r="21" spans="1:14" s="7" customFormat="1">
      <c r="A21" s="264" t="s">
        <v>355</v>
      </c>
      <c r="B21" s="264"/>
      <c r="C21" s="44">
        <v>253</v>
      </c>
      <c r="D21" s="267"/>
      <c r="E21" s="163">
        <v>0</v>
      </c>
      <c r="F21" s="164">
        <f>SUM(G21:M21)</f>
        <v>0</v>
      </c>
      <c r="G21" s="165">
        <v>0</v>
      </c>
      <c r="H21" s="165">
        <v>0</v>
      </c>
      <c r="I21" s="165">
        <v>0</v>
      </c>
      <c r="J21" s="165">
        <v>0</v>
      </c>
      <c r="K21" s="165">
        <v>0</v>
      </c>
      <c r="L21" s="165">
        <v>0</v>
      </c>
      <c r="M21" s="166">
        <v>0</v>
      </c>
      <c r="N21" s="36"/>
    </row>
    <row r="22" spans="1:14">
      <c r="A22" s="40" t="s">
        <v>294</v>
      </c>
      <c r="B22" s="265"/>
      <c r="C22" s="266"/>
      <c r="D22" s="267">
        <f>SUM(D18:D21)</f>
        <v>0</v>
      </c>
      <c r="E22" s="42">
        <v>75</v>
      </c>
      <c r="F22" s="43">
        <f>SUM(F18:F21)</f>
        <v>75</v>
      </c>
      <c r="G22" s="43">
        <f t="shared" ref="G22:M22" si="2">SUM(G18:G21)</f>
        <v>0</v>
      </c>
      <c r="H22" s="43">
        <f t="shared" si="2"/>
        <v>0</v>
      </c>
      <c r="I22" s="43">
        <f t="shared" si="2"/>
        <v>0</v>
      </c>
      <c r="J22" s="43">
        <f t="shared" si="2"/>
        <v>0</v>
      </c>
      <c r="K22" s="43">
        <f t="shared" si="2"/>
        <v>0</v>
      </c>
      <c r="L22" s="43">
        <f t="shared" si="2"/>
        <v>75</v>
      </c>
      <c r="M22" s="43">
        <f t="shared" si="2"/>
        <v>0</v>
      </c>
      <c r="N22" s="57"/>
    </row>
    <row r="23" spans="1:14" s="7" customFormat="1">
      <c r="A23" s="127" t="s">
        <v>295</v>
      </c>
      <c r="B23" s="128"/>
      <c r="C23" s="128"/>
      <c r="D23" s="128"/>
      <c r="E23" s="128"/>
      <c r="F23" s="128"/>
      <c r="G23" s="128"/>
      <c r="H23" s="128"/>
      <c r="I23" s="128"/>
      <c r="J23" s="128"/>
      <c r="K23" s="128"/>
      <c r="L23" s="128"/>
      <c r="M23" s="128"/>
      <c r="N23" s="168"/>
    </row>
    <row r="24" spans="1:14" ht="15.05" customHeight="1">
      <c r="A24" s="264" t="s">
        <v>296</v>
      </c>
      <c r="B24" s="36"/>
      <c r="C24" s="37" t="s">
        <v>297</v>
      </c>
      <c r="D24" s="38">
        <v>0</v>
      </c>
      <c r="E24" s="163">
        <v>0</v>
      </c>
      <c r="F24" s="164">
        <f t="shared" ref="F24:F38" si="3">SUM(G24:M24)</f>
        <v>0</v>
      </c>
      <c r="G24" s="165">
        <v>0</v>
      </c>
      <c r="H24" s="165">
        <v>0</v>
      </c>
      <c r="I24" s="165">
        <v>0</v>
      </c>
      <c r="J24" s="165">
        <v>0</v>
      </c>
      <c r="K24" s="165">
        <v>0</v>
      </c>
      <c r="L24" s="165">
        <v>0</v>
      </c>
      <c r="M24" s="166">
        <v>0</v>
      </c>
      <c r="N24" s="169"/>
    </row>
    <row r="25" spans="1:14">
      <c r="A25" s="264" t="s">
        <v>298</v>
      </c>
      <c r="B25" s="36"/>
      <c r="C25" s="44" t="s">
        <v>299</v>
      </c>
      <c r="D25" s="45"/>
      <c r="E25" s="163">
        <v>0</v>
      </c>
      <c r="F25" s="164">
        <f t="shared" si="3"/>
        <v>0</v>
      </c>
      <c r="G25" s="165">
        <v>0</v>
      </c>
      <c r="H25" s="165">
        <v>0</v>
      </c>
      <c r="I25" s="165">
        <v>0</v>
      </c>
      <c r="J25" s="165">
        <v>0</v>
      </c>
      <c r="K25" s="165">
        <v>0</v>
      </c>
      <c r="L25" s="165">
        <v>0</v>
      </c>
      <c r="M25" s="166">
        <v>0</v>
      </c>
      <c r="N25" s="57"/>
    </row>
    <row r="26" spans="1:14">
      <c r="A26" s="264" t="s">
        <v>300</v>
      </c>
      <c r="B26" s="36"/>
      <c r="C26" s="44" t="s">
        <v>301</v>
      </c>
      <c r="D26" s="45"/>
      <c r="E26" s="163">
        <v>0</v>
      </c>
      <c r="F26" s="164">
        <f t="shared" si="3"/>
        <v>0</v>
      </c>
      <c r="G26" s="165">
        <v>0</v>
      </c>
      <c r="H26" s="165">
        <v>0</v>
      </c>
      <c r="I26" s="165">
        <v>0</v>
      </c>
      <c r="J26" s="165">
        <v>0</v>
      </c>
      <c r="K26" s="165">
        <v>0</v>
      </c>
      <c r="L26" s="165">
        <v>0</v>
      </c>
      <c r="M26" s="166">
        <v>0</v>
      </c>
      <c r="N26" s="57"/>
    </row>
    <row r="27" spans="1:14">
      <c r="A27" s="264" t="s">
        <v>302</v>
      </c>
      <c r="B27" s="36"/>
      <c r="C27" s="44" t="s">
        <v>303</v>
      </c>
      <c r="D27" s="45"/>
      <c r="E27" s="163">
        <v>0</v>
      </c>
      <c r="F27" s="164">
        <f t="shared" si="3"/>
        <v>0</v>
      </c>
      <c r="G27" s="165">
        <v>0</v>
      </c>
      <c r="H27" s="165">
        <v>0</v>
      </c>
      <c r="I27" s="165">
        <v>0</v>
      </c>
      <c r="J27" s="165">
        <v>0</v>
      </c>
      <c r="K27" s="165">
        <v>0</v>
      </c>
      <c r="L27" s="165">
        <v>0</v>
      </c>
      <c r="M27" s="166">
        <v>0</v>
      </c>
      <c r="N27" s="57"/>
    </row>
    <row r="28" spans="1:14">
      <c r="A28" s="264" t="s">
        <v>304</v>
      </c>
      <c r="B28" s="36"/>
      <c r="C28" s="44">
        <v>251</v>
      </c>
      <c r="D28" s="45"/>
      <c r="E28" s="163">
        <v>0</v>
      </c>
      <c r="F28" s="164">
        <f t="shared" si="3"/>
        <v>0</v>
      </c>
      <c r="G28" s="165">
        <v>0</v>
      </c>
      <c r="H28" s="165">
        <v>0</v>
      </c>
      <c r="I28" s="165">
        <v>0</v>
      </c>
      <c r="J28" s="165">
        <v>0</v>
      </c>
      <c r="K28" s="165">
        <v>0</v>
      </c>
      <c r="L28" s="165">
        <v>0</v>
      </c>
      <c r="M28" s="166">
        <v>0</v>
      </c>
      <c r="N28" s="57"/>
    </row>
    <row r="29" spans="1:14">
      <c r="A29" s="264" t="s">
        <v>313</v>
      </c>
      <c r="B29" s="97"/>
      <c r="C29" s="98">
        <v>252</v>
      </c>
      <c r="D29" s="99"/>
      <c r="E29" s="170">
        <v>0</v>
      </c>
      <c r="F29" s="164">
        <f t="shared" si="3"/>
        <v>0</v>
      </c>
      <c r="G29" s="172">
        <v>0</v>
      </c>
      <c r="H29" s="172">
        <v>0</v>
      </c>
      <c r="I29" s="172">
        <v>0</v>
      </c>
      <c r="J29" s="172">
        <v>0</v>
      </c>
      <c r="K29" s="172">
        <v>0</v>
      </c>
      <c r="L29" s="172">
        <v>0</v>
      </c>
      <c r="M29" s="173">
        <v>0</v>
      </c>
      <c r="N29" s="174"/>
    </row>
    <row r="30" spans="1:14">
      <c r="A30" s="264" t="s">
        <v>314</v>
      </c>
      <c r="B30" s="36"/>
      <c r="C30" s="44">
        <v>252</v>
      </c>
      <c r="D30" s="45"/>
      <c r="E30" s="163">
        <v>0</v>
      </c>
      <c r="F30" s="164">
        <f t="shared" si="3"/>
        <v>0</v>
      </c>
      <c r="G30" s="165">
        <v>0</v>
      </c>
      <c r="H30" s="165">
        <v>0</v>
      </c>
      <c r="I30" s="165">
        <v>0</v>
      </c>
      <c r="J30" s="165">
        <v>0</v>
      </c>
      <c r="K30" s="165">
        <v>0</v>
      </c>
      <c r="L30" s="165">
        <v>0</v>
      </c>
      <c r="M30" s="166">
        <v>0</v>
      </c>
      <c r="N30" s="57"/>
    </row>
    <row r="31" spans="1:14">
      <c r="A31" s="264" t="s">
        <v>315</v>
      </c>
      <c r="B31" s="36"/>
      <c r="C31" s="44">
        <v>253</v>
      </c>
      <c r="D31" s="264"/>
      <c r="E31" s="163">
        <v>0</v>
      </c>
      <c r="F31" s="164">
        <f t="shared" si="3"/>
        <v>0</v>
      </c>
      <c r="G31" s="165">
        <v>0</v>
      </c>
      <c r="H31" s="165">
        <v>0</v>
      </c>
      <c r="I31" s="165">
        <v>0</v>
      </c>
      <c r="J31" s="165">
        <v>0</v>
      </c>
      <c r="K31" s="165">
        <v>0</v>
      </c>
      <c r="L31" s="165">
        <v>0</v>
      </c>
      <c r="M31" s="166">
        <v>0</v>
      </c>
      <c r="N31" s="57"/>
    </row>
    <row r="32" spans="1:14">
      <c r="A32" s="264" t="s">
        <v>316</v>
      </c>
      <c r="B32" s="36"/>
      <c r="C32" s="44">
        <v>255</v>
      </c>
      <c r="D32" s="264"/>
      <c r="E32" s="163">
        <v>0</v>
      </c>
      <c r="F32" s="164">
        <f t="shared" si="3"/>
        <v>0</v>
      </c>
      <c r="G32" s="165">
        <v>0</v>
      </c>
      <c r="H32" s="165">
        <v>0</v>
      </c>
      <c r="I32" s="165">
        <v>0</v>
      </c>
      <c r="J32" s="165">
        <v>0</v>
      </c>
      <c r="K32" s="165">
        <v>0</v>
      </c>
      <c r="L32" s="165">
        <v>0</v>
      </c>
      <c r="M32" s="166">
        <v>0</v>
      </c>
      <c r="N32" s="57"/>
    </row>
    <row r="33" spans="1:14">
      <c r="A33" s="264" t="s">
        <v>317</v>
      </c>
      <c r="B33" s="36"/>
      <c r="C33" s="44">
        <v>256</v>
      </c>
      <c r="D33" s="264"/>
      <c r="E33" s="163">
        <v>0</v>
      </c>
      <c r="F33" s="164">
        <f t="shared" si="3"/>
        <v>0</v>
      </c>
      <c r="G33" s="165">
        <v>0</v>
      </c>
      <c r="H33" s="165">
        <v>0</v>
      </c>
      <c r="I33" s="165">
        <v>0</v>
      </c>
      <c r="J33" s="165">
        <v>0</v>
      </c>
      <c r="K33" s="165">
        <v>0</v>
      </c>
      <c r="L33" s="165">
        <v>0</v>
      </c>
      <c r="M33" s="166">
        <v>0</v>
      </c>
      <c r="N33" s="57"/>
    </row>
    <row r="34" spans="1:14">
      <c r="A34" s="264" t="s">
        <v>318</v>
      </c>
      <c r="B34" s="36"/>
      <c r="C34" s="44">
        <v>257</v>
      </c>
      <c r="D34" s="264"/>
      <c r="E34" s="163">
        <v>0</v>
      </c>
      <c r="F34" s="164">
        <f t="shared" si="3"/>
        <v>0</v>
      </c>
      <c r="G34" s="165">
        <v>0</v>
      </c>
      <c r="H34" s="165">
        <v>0</v>
      </c>
      <c r="I34" s="165">
        <v>0</v>
      </c>
      <c r="J34" s="165">
        <v>0</v>
      </c>
      <c r="K34" s="165">
        <v>0</v>
      </c>
      <c r="L34" s="165">
        <v>0</v>
      </c>
      <c r="M34" s="166">
        <v>0</v>
      </c>
      <c r="N34" s="57"/>
    </row>
    <row r="35" spans="1:14">
      <c r="A35" s="264" t="s">
        <v>319</v>
      </c>
      <c r="B35" s="36"/>
      <c r="C35" s="44" t="s">
        <v>320</v>
      </c>
      <c r="D35" s="264"/>
      <c r="E35" s="163">
        <v>0</v>
      </c>
      <c r="F35" s="164">
        <f t="shared" si="3"/>
        <v>0</v>
      </c>
      <c r="G35" s="165">
        <v>0</v>
      </c>
      <c r="H35" s="165">
        <v>0</v>
      </c>
      <c r="I35" s="165">
        <v>0</v>
      </c>
      <c r="J35" s="165">
        <v>0</v>
      </c>
      <c r="K35" s="165">
        <v>0</v>
      </c>
      <c r="L35" s="165">
        <v>0</v>
      </c>
      <c r="M35" s="166">
        <v>0</v>
      </c>
      <c r="N35" s="57"/>
    </row>
    <row r="36" spans="1:14" s="381" customFormat="1">
      <c r="A36" s="265" t="s">
        <v>321</v>
      </c>
      <c r="B36" s="36"/>
      <c r="C36" s="266" t="s">
        <v>322</v>
      </c>
      <c r="D36" s="265"/>
      <c r="E36" s="163">
        <v>0</v>
      </c>
      <c r="F36" s="164">
        <f>SUM(G36:M36)</f>
        <v>0</v>
      </c>
      <c r="G36" s="165">
        <v>0</v>
      </c>
      <c r="H36" s="165">
        <v>0</v>
      </c>
      <c r="I36" s="165">
        <v>0</v>
      </c>
      <c r="J36" s="165">
        <v>0</v>
      </c>
      <c r="K36" s="165">
        <v>0</v>
      </c>
      <c r="L36" s="165">
        <v>0</v>
      </c>
      <c r="M36" s="166">
        <v>0</v>
      </c>
      <c r="N36" s="57"/>
    </row>
    <row r="37" spans="1:14">
      <c r="A37" s="265" t="s">
        <v>323</v>
      </c>
      <c r="B37" s="390"/>
      <c r="C37" s="266" t="s">
        <v>324</v>
      </c>
      <c r="D37" s="265"/>
      <c r="E37" s="318">
        <v>0</v>
      </c>
      <c r="F37" s="309">
        <f>SUM(G37:M37)</f>
        <v>0</v>
      </c>
      <c r="G37" s="165">
        <v>0</v>
      </c>
      <c r="H37" s="165">
        <f>(75-75)</f>
        <v>0</v>
      </c>
      <c r="I37" s="165">
        <v>0</v>
      </c>
      <c r="J37" s="165">
        <v>0</v>
      </c>
      <c r="K37" s="165">
        <v>0</v>
      </c>
      <c r="L37" s="165">
        <v>0</v>
      </c>
      <c r="M37" s="166">
        <v>0</v>
      </c>
      <c r="N37" s="325"/>
    </row>
    <row r="38" spans="1:14">
      <c r="A38" s="40" t="s">
        <v>326</v>
      </c>
      <c r="B38" s="265"/>
      <c r="C38" s="266"/>
      <c r="D38" s="267"/>
      <c r="E38" s="42">
        <v>0</v>
      </c>
      <c r="F38" s="164">
        <f t="shared" si="3"/>
        <v>0</v>
      </c>
      <c r="G38" s="43">
        <f t="shared" ref="G38:M38" si="4">SUM(G24:G37)</f>
        <v>0</v>
      </c>
      <c r="H38" s="43">
        <f t="shared" si="4"/>
        <v>0</v>
      </c>
      <c r="I38" s="43">
        <f t="shared" si="4"/>
        <v>0</v>
      </c>
      <c r="J38" s="43">
        <f t="shared" si="4"/>
        <v>0</v>
      </c>
      <c r="K38" s="43">
        <f t="shared" si="4"/>
        <v>0</v>
      </c>
      <c r="L38" s="43">
        <f t="shared" si="4"/>
        <v>0</v>
      </c>
      <c r="M38" s="43">
        <f t="shared" si="4"/>
        <v>0</v>
      </c>
      <c r="N38" s="57"/>
    </row>
    <row r="39" spans="1:14">
      <c r="A39" s="40" t="s">
        <v>327</v>
      </c>
      <c r="B39" s="51"/>
      <c r="C39" s="149"/>
      <c r="D39" s="267"/>
      <c r="E39" s="241">
        <v>0</v>
      </c>
      <c r="F39" s="240">
        <f>SUM(G39:M39)</f>
        <v>0</v>
      </c>
      <c r="G39" s="240"/>
      <c r="H39" s="240">
        <v>0</v>
      </c>
      <c r="I39" s="240"/>
      <c r="J39" s="240"/>
      <c r="K39" s="240"/>
      <c r="L39" s="240"/>
      <c r="M39" s="240"/>
      <c r="N39" s="57"/>
    </row>
    <row r="40" spans="1:14">
      <c r="A40" s="40" t="s">
        <v>328</v>
      </c>
      <c r="B40" s="46"/>
      <c r="C40" s="47"/>
      <c r="D40" s="48">
        <f>D38+D22+D16</f>
        <v>0</v>
      </c>
      <c r="E40" s="42">
        <f t="shared" ref="E40:M40" si="5">E38+E22+E16-E39</f>
        <v>75</v>
      </c>
      <c r="F40" s="175">
        <f t="shared" si="5"/>
        <v>75</v>
      </c>
      <c r="G40" s="175">
        <f t="shared" si="5"/>
        <v>0</v>
      </c>
      <c r="H40" s="175">
        <f t="shared" si="5"/>
        <v>0</v>
      </c>
      <c r="I40" s="175">
        <f t="shared" si="5"/>
        <v>0</v>
      </c>
      <c r="J40" s="175">
        <f t="shared" si="5"/>
        <v>0</v>
      </c>
      <c r="K40" s="175">
        <f t="shared" si="5"/>
        <v>0</v>
      </c>
      <c r="L40" s="175">
        <f t="shared" si="5"/>
        <v>75</v>
      </c>
      <c r="M40" s="175">
        <f t="shared" si="5"/>
        <v>0</v>
      </c>
      <c r="N40" s="176"/>
    </row>
    <row r="43" spans="1:14" s="381" customFormat="1" ht="15.6" thickBot="1">
      <c r="A43" s="31"/>
      <c r="B43" s="31"/>
      <c r="C43" s="32"/>
      <c r="D43" s="31"/>
      <c r="E43" s="31"/>
      <c r="F43" s="31"/>
      <c r="G43" s="31"/>
      <c r="H43" s="31"/>
      <c r="I43" s="31"/>
      <c r="J43" s="31"/>
      <c r="K43" s="31"/>
      <c r="L43" s="31"/>
      <c r="M43" s="31"/>
      <c r="N43" s="562"/>
    </row>
    <row r="44" spans="1:14" s="381" customFormat="1" ht="15.6">
      <c r="A44" s="764" t="s">
        <v>330</v>
      </c>
      <c r="B44" s="765"/>
      <c r="C44" s="765"/>
      <c r="D44" s="765"/>
      <c r="E44" s="765"/>
      <c r="F44" s="765"/>
      <c r="G44" s="581"/>
      <c r="H44" s="31"/>
      <c r="I44" s="31"/>
      <c r="J44" s="31"/>
      <c r="K44" s="31"/>
      <c r="L44" s="31"/>
      <c r="M44" s="31"/>
      <c r="N44" s="562"/>
    </row>
    <row r="45" spans="1:14" s="381" customFormat="1" ht="15.6">
      <c r="A45" s="738"/>
      <c r="B45" s="739"/>
      <c r="C45" s="739"/>
      <c r="D45" s="739"/>
      <c r="E45" s="739"/>
      <c r="F45" s="739"/>
      <c r="G45" s="582"/>
      <c r="H45" s="31"/>
      <c r="I45" s="31"/>
      <c r="J45" s="31"/>
      <c r="K45" s="31"/>
      <c r="L45" s="31"/>
      <c r="M45" s="31"/>
      <c r="N45" s="562"/>
    </row>
    <row r="46" spans="1:14" s="381" customFormat="1">
      <c r="A46" s="740" t="s">
        <v>331</v>
      </c>
      <c r="B46" s="741"/>
      <c r="C46" s="583"/>
      <c r="D46" s="583"/>
      <c r="E46" s="583"/>
      <c r="F46" s="583"/>
      <c r="G46" s="582"/>
      <c r="H46" s="31"/>
      <c r="I46" s="31"/>
      <c r="J46" s="31"/>
      <c r="K46" s="31"/>
      <c r="L46" s="31"/>
      <c r="M46" s="31"/>
      <c r="N46" s="562"/>
    </row>
    <row r="47" spans="1:14" s="381" customFormat="1">
      <c r="A47" s="584" t="s">
        <v>480</v>
      </c>
      <c r="B47" s="585">
        <f>+E40</f>
        <v>75</v>
      </c>
      <c r="C47" s="586"/>
      <c r="D47" s="587"/>
      <c r="E47" s="587"/>
      <c r="F47" s="587"/>
      <c r="G47" s="582"/>
      <c r="H47" s="31"/>
      <c r="I47" s="31"/>
      <c r="J47" s="31"/>
      <c r="K47" s="31"/>
      <c r="L47" s="31"/>
      <c r="M47" s="31"/>
      <c r="N47" s="562"/>
    </row>
    <row r="48" spans="1:14" s="381" customFormat="1">
      <c r="A48" s="588" t="s">
        <v>481</v>
      </c>
      <c r="B48" s="589">
        <f>+F40</f>
        <v>75</v>
      </c>
      <c r="C48" s="586"/>
      <c r="D48" s="587"/>
      <c r="E48" s="587"/>
      <c r="F48" s="587"/>
      <c r="G48" s="582"/>
      <c r="H48" s="31"/>
      <c r="I48" s="31"/>
      <c r="J48" s="31"/>
      <c r="K48" s="31"/>
      <c r="L48" s="31"/>
      <c r="M48" s="31"/>
      <c r="N48" s="562"/>
    </row>
    <row r="49" spans="1:14" s="381" customFormat="1">
      <c r="A49" s="590" t="s">
        <v>334</v>
      </c>
      <c r="B49" s="591">
        <f>+B48-B47</f>
        <v>0</v>
      </c>
      <c r="C49" s="586"/>
      <c r="D49" s="587"/>
      <c r="E49" s="587"/>
      <c r="F49" s="587"/>
      <c r="G49" s="582"/>
      <c r="H49" s="31"/>
      <c r="I49" s="31"/>
      <c r="J49" s="31"/>
      <c r="K49" s="31"/>
      <c r="L49" s="31"/>
      <c r="M49" s="31"/>
      <c r="N49" s="562"/>
    </row>
    <row r="50" spans="1:14" s="381" customFormat="1">
      <c r="A50" s="590" t="s">
        <v>335</v>
      </c>
      <c r="B50" s="592">
        <f>+B49/B47</f>
        <v>0</v>
      </c>
      <c r="C50" s="586"/>
      <c r="D50" s="587"/>
      <c r="E50" s="587"/>
      <c r="F50" s="587"/>
      <c r="G50" s="582"/>
      <c r="H50" s="31"/>
      <c r="I50" s="31"/>
      <c r="J50" s="31"/>
      <c r="K50" s="31"/>
      <c r="L50" s="31"/>
      <c r="M50" s="31"/>
      <c r="N50" s="562"/>
    </row>
    <row r="51" spans="1:14" s="381" customFormat="1">
      <c r="A51" s="593"/>
      <c r="B51" s="587"/>
      <c r="C51" s="686"/>
      <c r="D51" s="587"/>
      <c r="E51" s="587"/>
      <c r="F51" s="587"/>
      <c r="G51" s="582"/>
      <c r="H51" s="31"/>
      <c r="I51" s="31"/>
      <c r="J51" s="31"/>
      <c r="K51" s="31"/>
      <c r="L51" s="31"/>
      <c r="M51" s="31"/>
      <c r="N51" s="562"/>
    </row>
    <row r="52" spans="1:14" s="381" customFormat="1">
      <c r="A52" s="731" t="s">
        <v>336</v>
      </c>
      <c r="B52" s="732"/>
      <c r="C52" s="732"/>
      <c r="D52" s="732"/>
      <c r="E52" s="732"/>
      <c r="F52" s="732"/>
      <c r="G52" s="582"/>
      <c r="H52" s="31"/>
      <c r="I52" s="31"/>
      <c r="J52" s="31"/>
      <c r="K52" s="31"/>
      <c r="L52" s="31"/>
      <c r="M52" s="31"/>
      <c r="N52" s="562"/>
    </row>
    <row r="53" spans="1:14" s="381" customFormat="1">
      <c r="A53" s="742"/>
      <c r="B53" s="743"/>
      <c r="C53" s="743"/>
      <c r="D53" s="743"/>
      <c r="E53" s="743"/>
      <c r="F53" s="744"/>
      <c r="G53" s="582"/>
      <c r="H53" s="31"/>
      <c r="I53" s="31"/>
      <c r="J53" s="31"/>
      <c r="K53" s="31"/>
      <c r="L53" s="31"/>
      <c r="M53" s="31"/>
      <c r="N53" s="562"/>
    </row>
    <row r="54" spans="1:14" s="381" customFormat="1">
      <c r="A54" s="594"/>
      <c r="B54" s="595"/>
      <c r="C54" s="595"/>
      <c r="D54" s="595"/>
      <c r="E54" s="595"/>
      <c r="F54" s="595"/>
      <c r="G54" s="582"/>
      <c r="H54" s="31"/>
      <c r="I54" s="31"/>
      <c r="J54" s="31"/>
      <c r="K54" s="31"/>
      <c r="L54" s="31"/>
      <c r="M54" s="31"/>
      <c r="N54" s="562"/>
    </row>
    <row r="55" spans="1:14" s="381" customFormat="1">
      <c r="A55" s="596" t="s">
        <v>337</v>
      </c>
      <c r="B55" s="587"/>
      <c r="C55" s="686"/>
      <c r="D55" s="587"/>
      <c r="E55" s="587"/>
      <c r="F55" s="587"/>
      <c r="G55" s="582"/>
      <c r="H55" s="31"/>
      <c r="I55" s="31"/>
      <c r="J55" s="31"/>
      <c r="K55" s="31"/>
      <c r="L55" s="31"/>
      <c r="M55" s="31"/>
      <c r="N55" s="562"/>
    </row>
    <row r="56" spans="1:14" s="381" customFormat="1">
      <c r="A56" s="735"/>
      <c r="B56" s="736"/>
      <c r="C56" s="736"/>
      <c r="D56" s="736"/>
      <c r="E56" s="736"/>
      <c r="F56" s="737"/>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365</v>
      </c>
      <c r="B58" s="732"/>
      <c r="C58" s="732"/>
      <c r="D58" s="732"/>
      <c r="E58" s="732"/>
      <c r="F58" s="732"/>
      <c r="G58" s="582"/>
      <c r="H58" s="31"/>
      <c r="I58" s="31"/>
      <c r="J58" s="31"/>
      <c r="K58" s="31"/>
      <c r="L58" s="31"/>
      <c r="M58" s="31"/>
      <c r="N58" s="562"/>
    </row>
    <row r="59" spans="1:14" s="381" customFormat="1">
      <c r="A59" s="733" t="s">
        <v>849</v>
      </c>
      <c r="B59" s="734"/>
      <c r="C59" s="734"/>
      <c r="D59" s="734"/>
      <c r="E59" s="734"/>
      <c r="F59" s="734"/>
      <c r="G59" s="582"/>
      <c r="H59" s="31"/>
      <c r="I59" s="31"/>
      <c r="J59" s="31"/>
      <c r="K59" s="31"/>
      <c r="L59" s="31"/>
      <c r="M59" s="31"/>
      <c r="N59" s="562"/>
    </row>
    <row r="60" spans="1:14" s="381" customFormat="1">
      <c r="A60" s="735"/>
      <c r="B60" s="736"/>
      <c r="C60" s="736"/>
      <c r="D60" s="736"/>
      <c r="E60" s="736"/>
      <c r="F60" s="737"/>
      <c r="G60" s="582"/>
      <c r="H60" s="31"/>
      <c r="I60" s="31"/>
      <c r="J60" s="31"/>
      <c r="K60" s="31"/>
      <c r="L60" s="31"/>
      <c r="M60" s="31"/>
      <c r="N60" s="562"/>
    </row>
    <row r="61" spans="1:14" s="381" customFormat="1">
      <c r="A61" s="596"/>
      <c r="B61" s="587"/>
      <c r="C61" s="686"/>
      <c r="D61" s="587"/>
      <c r="E61" s="587"/>
      <c r="F61" s="587"/>
      <c r="G61" s="582"/>
      <c r="H61" s="31"/>
      <c r="I61" s="31"/>
      <c r="J61" s="31"/>
      <c r="K61" s="31"/>
      <c r="L61" s="31"/>
      <c r="M61" s="31"/>
      <c r="N61" s="562"/>
    </row>
    <row r="62" spans="1:14" s="381" customFormat="1">
      <c r="A62" s="731" t="s">
        <v>340</v>
      </c>
      <c r="B62" s="732"/>
      <c r="C62" s="732"/>
      <c r="D62" s="732"/>
      <c r="E62" s="732"/>
      <c r="F62" s="587"/>
      <c r="G62" s="582"/>
      <c r="H62" s="31"/>
      <c r="I62" s="31"/>
      <c r="J62" s="31"/>
      <c r="K62" s="31"/>
      <c r="L62" s="31"/>
      <c r="M62" s="31"/>
      <c r="N62" s="562"/>
    </row>
    <row r="63" spans="1:14" s="381" customFormat="1">
      <c r="A63" s="728"/>
      <c r="B63" s="729"/>
      <c r="C63" s="729"/>
      <c r="D63" s="729"/>
      <c r="E63" s="729"/>
      <c r="F63" s="730"/>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596" t="s">
        <v>341</v>
      </c>
      <c r="B65" s="587"/>
      <c r="C65" s="686"/>
      <c r="D65" s="587"/>
      <c r="E65" s="587"/>
      <c r="F65" s="587"/>
      <c r="G65" s="582"/>
      <c r="H65" s="31"/>
      <c r="I65" s="31"/>
      <c r="J65" s="31"/>
      <c r="K65" s="31"/>
      <c r="L65" s="31"/>
      <c r="M65" s="31"/>
      <c r="N65" s="562"/>
    </row>
    <row r="66" spans="1:14" s="381" customFormat="1">
      <c r="A66" s="597" t="s">
        <v>342</v>
      </c>
      <c r="B66" s="587"/>
      <c r="C66" s="686"/>
      <c r="D66" s="587"/>
      <c r="E66" s="587"/>
      <c r="F66" s="587"/>
      <c r="G66" s="582"/>
      <c r="H66" s="31"/>
      <c r="I66" s="31"/>
      <c r="J66" s="31"/>
      <c r="K66" s="31"/>
      <c r="L66" s="31"/>
      <c r="M66" s="31"/>
      <c r="N66" s="562"/>
    </row>
    <row r="67" spans="1:14" s="381" customFormat="1" ht="26.95" customHeight="1">
      <c r="A67" s="719" t="s">
        <v>368</v>
      </c>
      <c r="B67" s="720"/>
      <c r="C67" s="720"/>
      <c r="D67" s="720"/>
      <c r="E67" s="720"/>
      <c r="F67" s="720"/>
      <c r="G67" s="582"/>
      <c r="H67" s="31"/>
      <c r="I67" s="31"/>
      <c r="J67" s="31"/>
      <c r="K67" s="31"/>
      <c r="L67" s="31"/>
      <c r="M67" s="31"/>
      <c r="N67" s="562"/>
    </row>
    <row r="68" spans="1:14" s="381" customFormat="1">
      <c r="A68" s="721"/>
      <c r="B68" s="722"/>
      <c r="C68" s="722"/>
      <c r="D68" s="722"/>
      <c r="E68" s="722"/>
      <c r="F68" s="723"/>
      <c r="G68" s="582"/>
      <c r="H68" s="31"/>
      <c r="I68" s="31"/>
      <c r="J68" s="31"/>
      <c r="K68" s="31"/>
      <c r="L68" s="31"/>
      <c r="M68" s="31"/>
      <c r="N68" s="562"/>
    </row>
    <row r="69" spans="1:14" s="381" customFormat="1">
      <c r="A69" s="724"/>
      <c r="B69" s="725"/>
      <c r="C69" s="725"/>
      <c r="D69" s="725"/>
      <c r="E69" s="725"/>
      <c r="F69" s="725"/>
      <c r="G69" s="582"/>
      <c r="H69" s="31"/>
      <c r="I69" s="31"/>
      <c r="J69" s="31"/>
      <c r="K69" s="31"/>
      <c r="L69" s="31"/>
      <c r="M69" s="31"/>
      <c r="N69" s="562"/>
    </row>
    <row r="70" spans="1:14" s="381" customFormat="1">
      <c r="A70" s="597" t="s">
        <v>344</v>
      </c>
      <c r="B70" s="587"/>
      <c r="C70" s="686"/>
      <c r="D70" s="587"/>
      <c r="E70" s="587"/>
      <c r="F70" s="587"/>
      <c r="G70" s="582"/>
      <c r="H70" s="31"/>
      <c r="I70" s="31"/>
      <c r="J70" s="31"/>
      <c r="K70" s="31"/>
      <c r="L70" s="31"/>
      <c r="M70" s="31"/>
      <c r="N70" s="562"/>
    </row>
    <row r="71" spans="1:14" s="381" customFormat="1" ht="28.2" customHeight="1">
      <c r="A71" s="726" t="s">
        <v>345</v>
      </c>
      <c r="B71" s="727"/>
      <c r="C71" s="727"/>
      <c r="D71" s="727"/>
      <c r="E71" s="727"/>
      <c r="F71" s="727"/>
      <c r="G71" s="582"/>
      <c r="H71" s="31"/>
      <c r="I71" s="31"/>
      <c r="J71" s="31"/>
      <c r="K71" s="31"/>
      <c r="L71" s="31"/>
      <c r="M71" s="31"/>
      <c r="N71" s="562"/>
    </row>
    <row r="72" spans="1:14" s="381" customFormat="1">
      <c r="A72" s="728"/>
      <c r="B72" s="729"/>
      <c r="C72" s="729"/>
      <c r="D72" s="729"/>
      <c r="E72" s="729"/>
      <c r="F72" s="730"/>
      <c r="G72" s="582"/>
      <c r="H72" s="31"/>
      <c r="I72" s="31"/>
      <c r="J72" s="31"/>
      <c r="K72" s="31"/>
      <c r="L72" s="31"/>
      <c r="M72" s="31"/>
      <c r="N72" s="562"/>
    </row>
    <row r="73" spans="1:14" s="381" customFormat="1" ht="15.6" thickBot="1">
      <c r="A73" s="598"/>
      <c r="B73" s="599"/>
      <c r="C73" s="600"/>
      <c r="D73" s="599"/>
      <c r="E73" s="599"/>
      <c r="F73" s="599"/>
      <c r="G73" s="601"/>
      <c r="H73" s="31"/>
      <c r="I73" s="31"/>
      <c r="J73" s="31"/>
      <c r="K73" s="31"/>
      <c r="L73" s="31"/>
      <c r="M73" s="31"/>
      <c r="N73" s="562"/>
    </row>
    <row r="74" spans="1:14" s="381" customFormat="1">
      <c r="A74" s="31"/>
      <c r="B74" s="31"/>
      <c r="C74" s="32"/>
      <c r="D74" s="31"/>
      <c r="E74" s="31"/>
      <c r="F74" s="31"/>
      <c r="G74" s="31"/>
      <c r="H74" s="31"/>
      <c r="I74" s="31"/>
      <c r="J74" s="31"/>
      <c r="K74" s="31"/>
      <c r="L74" s="31"/>
      <c r="M74" s="31"/>
      <c r="N74" s="562"/>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63" orientation="landscape" r:id="rId1"/>
  <headerFooter>
    <oddHeader xml:space="preserve">&amp;CDRAFT NOT FOR DISTRIBUTION, INTERNAL USE ONLY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0.249977111117893"/>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30.42578125" customWidth="1"/>
  </cols>
  <sheetData>
    <row r="1" spans="1:14" ht="15.6">
      <c r="A1" s="745" t="s">
        <v>227</v>
      </c>
      <c r="B1" s="745"/>
      <c r="C1" s="745"/>
      <c r="D1" s="745"/>
      <c r="E1" s="745"/>
      <c r="F1" s="745"/>
      <c r="G1" s="745"/>
      <c r="H1" s="745"/>
      <c r="I1" s="745"/>
      <c r="J1" s="745"/>
      <c r="K1" s="745"/>
      <c r="L1" s="745"/>
      <c r="M1" s="745"/>
      <c r="N1" s="745"/>
    </row>
    <row r="2" spans="1:14">
      <c r="A2" s="65" t="s">
        <v>942</v>
      </c>
      <c r="B2" s="381"/>
      <c r="C2" s="687"/>
      <c r="D2" s="381"/>
      <c r="E2" s="381"/>
      <c r="F2" s="381"/>
      <c r="G2" s="381"/>
      <c r="H2" s="381"/>
      <c r="I2" s="381"/>
      <c r="J2" s="381"/>
      <c r="K2" s="381"/>
      <c r="L2" s="381"/>
      <c r="M2" s="381"/>
      <c r="N2" s="381"/>
    </row>
    <row r="3" spans="1:14">
      <c r="A3" s="68" t="s">
        <v>943</v>
      </c>
      <c r="B3" s="381"/>
      <c r="C3" s="687"/>
      <c r="D3" s="381"/>
      <c r="E3" s="381"/>
      <c r="F3" s="554" t="s">
        <v>275</v>
      </c>
      <c r="G3" s="381"/>
      <c r="H3" s="381"/>
      <c r="I3" s="381"/>
      <c r="J3" s="381"/>
      <c r="K3" s="381"/>
      <c r="L3" s="381"/>
      <c r="M3" s="381"/>
      <c r="N3" s="381"/>
    </row>
    <row r="4" spans="1:14">
      <c r="A4" s="68" t="s">
        <v>944</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N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43">
        <f t="shared" si="1"/>
        <v>0</v>
      </c>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v>0</v>
      </c>
      <c r="G18" s="310">
        <v>0</v>
      </c>
      <c r="H18" s="310">
        <v>0</v>
      </c>
      <c r="I18" s="310">
        <v>0</v>
      </c>
      <c r="J18" s="310">
        <v>0</v>
      </c>
      <c r="K18" s="310">
        <v>0</v>
      </c>
      <c r="L18" s="310">
        <v>0</v>
      </c>
      <c r="M18" s="311">
        <v>0</v>
      </c>
      <c r="N18" s="327"/>
    </row>
    <row r="19" spans="1:14">
      <c r="A19" s="264" t="s">
        <v>355</v>
      </c>
      <c r="B19" s="264"/>
      <c r="C19" s="44">
        <v>253</v>
      </c>
      <c r="D19" s="45"/>
      <c r="E19" s="263">
        <v>0</v>
      </c>
      <c r="F19" s="357">
        <v>0</v>
      </c>
      <c r="G19" s="310">
        <v>0</v>
      </c>
      <c r="H19" s="310">
        <v>0</v>
      </c>
      <c r="I19" s="310">
        <v>0</v>
      </c>
      <c r="J19" s="310">
        <v>0</v>
      </c>
      <c r="K19" s="310">
        <v>0</v>
      </c>
      <c r="L19" s="310">
        <v>0</v>
      </c>
      <c r="M19" s="311">
        <v>0</v>
      </c>
      <c r="N19" s="326"/>
    </row>
    <row r="20" spans="1:14">
      <c r="A20" s="264" t="s">
        <v>355</v>
      </c>
      <c r="B20" s="264"/>
      <c r="C20" s="44">
        <v>253</v>
      </c>
      <c r="D20" s="267"/>
      <c r="E20" s="263">
        <v>0</v>
      </c>
      <c r="F20" s="357">
        <v>0</v>
      </c>
      <c r="G20" s="310">
        <v>0</v>
      </c>
      <c r="H20" s="310">
        <v>0</v>
      </c>
      <c r="I20" s="310">
        <v>0</v>
      </c>
      <c r="J20" s="310">
        <v>0</v>
      </c>
      <c r="K20" s="310">
        <v>0</v>
      </c>
      <c r="L20" s="310">
        <v>0</v>
      </c>
      <c r="M20" s="311">
        <v>0</v>
      </c>
      <c r="N20" s="355"/>
    </row>
    <row r="21" spans="1:14" s="7" customFormat="1">
      <c r="A21" s="264" t="s">
        <v>355</v>
      </c>
      <c r="B21" s="264"/>
      <c r="C21" s="44">
        <v>253</v>
      </c>
      <c r="D21" s="267"/>
      <c r="E21" s="263">
        <v>0</v>
      </c>
      <c r="F21" s="357">
        <v>0</v>
      </c>
      <c r="G21" s="310">
        <v>0</v>
      </c>
      <c r="H21" s="310">
        <v>0</v>
      </c>
      <c r="I21" s="310">
        <v>0</v>
      </c>
      <c r="J21" s="310">
        <v>0</v>
      </c>
      <c r="K21" s="310">
        <v>0</v>
      </c>
      <c r="L21" s="310">
        <v>0</v>
      </c>
      <c r="M21" s="311">
        <v>0</v>
      </c>
      <c r="N21" s="326"/>
    </row>
    <row r="22" spans="1:14">
      <c r="A22" s="40" t="s">
        <v>294</v>
      </c>
      <c r="B22" s="265"/>
      <c r="C22" s="266"/>
      <c r="D22" s="267">
        <f>SUM(D18:D21)</f>
        <v>0</v>
      </c>
      <c r="E22" s="42">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7" customFormat="1">
      <c r="A23" s="69" t="s">
        <v>295</v>
      </c>
      <c r="B23" s="70"/>
      <c r="C23" s="71"/>
      <c r="D23" s="70"/>
      <c r="E23" s="70"/>
      <c r="F23" s="72"/>
      <c r="G23" s="72"/>
      <c r="H23" s="72"/>
      <c r="I23" s="72"/>
      <c r="J23" s="72"/>
      <c r="K23" s="72"/>
      <c r="L23" s="72"/>
      <c r="M23" s="72"/>
      <c r="N23" s="72"/>
    </row>
    <row r="24" spans="1:14" ht="15.05" customHeight="1">
      <c r="A24" s="264" t="s">
        <v>296</v>
      </c>
      <c r="B24" s="36"/>
      <c r="C24" s="37" t="s">
        <v>297</v>
      </c>
      <c r="D24" s="38">
        <v>0</v>
      </c>
      <c r="E24" s="263">
        <v>0</v>
      </c>
      <c r="F24" s="309">
        <f t="shared" ref="F24:F35" si="3">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76.45">
      <c r="A28" s="264" t="s">
        <v>304</v>
      </c>
      <c r="B28" s="36"/>
      <c r="C28" s="44">
        <v>251</v>
      </c>
      <c r="D28" s="45"/>
      <c r="E28" s="263">
        <v>165</v>
      </c>
      <c r="F28" s="309">
        <f t="shared" si="3"/>
        <v>175</v>
      </c>
      <c r="G28" s="310">
        <v>0</v>
      </c>
      <c r="H28" s="310">
        <v>175</v>
      </c>
      <c r="I28" s="310">
        <v>0</v>
      </c>
      <c r="J28" s="310">
        <v>0</v>
      </c>
      <c r="K28" s="310">
        <v>0</v>
      </c>
      <c r="L28" s="310">
        <v>0</v>
      </c>
      <c r="M28" s="311">
        <v>0</v>
      </c>
      <c r="N28" s="453" t="s">
        <v>945</v>
      </c>
    </row>
    <row r="29" spans="1:14">
      <c r="A29" s="264" t="s">
        <v>313</v>
      </c>
      <c r="B29" s="36"/>
      <c r="C29" s="44">
        <v>252</v>
      </c>
      <c r="D29" s="45"/>
      <c r="E29" s="263">
        <v>0</v>
      </c>
      <c r="F29" s="309">
        <f t="shared" si="3"/>
        <v>0</v>
      </c>
      <c r="G29" s="310">
        <v>0</v>
      </c>
      <c r="H29" s="310">
        <v>0</v>
      </c>
      <c r="I29" s="310">
        <v>0</v>
      </c>
      <c r="J29" s="310">
        <v>0</v>
      </c>
      <c r="K29" s="310">
        <v>0</v>
      </c>
      <c r="L29" s="310">
        <v>0</v>
      </c>
      <c r="M29" s="311">
        <v>0</v>
      </c>
      <c r="N29" s="159"/>
    </row>
    <row r="30" spans="1:14">
      <c r="A30" s="264" t="s">
        <v>314</v>
      </c>
      <c r="B30" s="36"/>
      <c r="C30" s="44">
        <v>252</v>
      </c>
      <c r="D30" s="45"/>
      <c r="E30" s="263">
        <v>0</v>
      </c>
      <c r="F30" s="309">
        <f t="shared" si="3"/>
        <v>0</v>
      </c>
      <c r="G30" s="310">
        <v>0</v>
      </c>
      <c r="H30" s="310">
        <v>0</v>
      </c>
      <c r="I30" s="310">
        <v>0</v>
      </c>
      <c r="J30" s="310">
        <v>0</v>
      </c>
      <c r="K30" s="310">
        <v>0</v>
      </c>
      <c r="L30" s="310">
        <v>0</v>
      </c>
      <c r="M30" s="311">
        <v>0</v>
      </c>
      <c r="N30" s="159"/>
    </row>
    <row r="31" spans="1:14">
      <c r="A31" s="264" t="s">
        <v>315</v>
      </c>
      <c r="B31" s="36"/>
      <c r="C31" s="44">
        <v>253</v>
      </c>
      <c r="D31" s="264"/>
      <c r="E31" s="263">
        <v>0</v>
      </c>
      <c r="F31" s="309">
        <f t="shared" si="3"/>
        <v>0</v>
      </c>
      <c r="G31" s="310">
        <v>0</v>
      </c>
      <c r="H31" s="310">
        <v>0</v>
      </c>
      <c r="I31" s="310">
        <v>0</v>
      </c>
      <c r="J31" s="310">
        <v>0</v>
      </c>
      <c r="K31" s="310">
        <v>0</v>
      </c>
      <c r="L31" s="310">
        <v>0</v>
      </c>
      <c r="M31" s="311">
        <v>0</v>
      </c>
      <c r="N31" s="159"/>
    </row>
    <row r="32" spans="1:14">
      <c r="A32" s="264" t="s">
        <v>316</v>
      </c>
      <c r="B32" s="36"/>
      <c r="C32" s="44">
        <v>255</v>
      </c>
      <c r="D32" s="264"/>
      <c r="E32" s="263">
        <v>0</v>
      </c>
      <c r="F32" s="309">
        <f t="shared" si="3"/>
        <v>0</v>
      </c>
      <c r="G32" s="310">
        <v>0</v>
      </c>
      <c r="H32" s="310">
        <v>0</v>
      </c>
      <c r="I32" s="310">
        <v>0</v>
      </c>
      <c r="J32" s="310">
        <v>0</v>
      </c>
      <c r="K32" s="310">
        <v>0</v>
      </c>
      <c r="L32" s="310">
        <v>0</v>
      </c>
      <c r="M32" s="311">
        <v>0</v>
      </c>
      <c r="N32" s="159"/>
    </row>
    <row r="33" spans="1:14">
      <c r="A33" s="264" t="s">
        <v>317</v>
      </c>
      <c r="B33" s="36"/>
      <c r="C33" s="44">
        <v>256</v>
      </c>
      <c r="D33" s="264"/>
      <c r="E33" s="263">
        <v>0</v>
      </c>
      <c r="F33" s="309">
        <f t="shared" si="3"/>
        <v>0</v>
      </c>
      <c r="G33" s="310">
        <v>0</v>
      </c>
      <c r="H33" s="310">
        <v>0</v>
      </c>
      <c r="I33" s="310">
        <v>0</v>
      </c>
      <c r="J33" s="310">
        <v>0</v>
      </c>
      <c r="K33" s="310">
        <v>0</v>
      </c>
      <c r="L33" s="310">
        <v>0</v>
      </c>
      <c r="M33" s="311">
        <v>0</v>
      </c>
      <c r="N33" s="159"/>
    </row>
    <row r="34" spans="1:14" ht="29.7">
      <c r="A34" s="264" t="s">
        <v>318</v>
      </c>
      <c r="B34" s="36"/>
      <c r="C34" s="44">
        <v>257</v>
      </c>
      <c r="D34" s="264"/>
      <c r="E34" s="263">
        <v>13</v>
      </c>
      <c r="F34" s="309">
        <f t="shared" si="3"/>
        <v>14</v>
      </c>
      <c r="G34" s="310">
        <v>0</v>
      </c>
      <c r="H34" s="310">
        <v>14</v>
      </c>
      <c r="I34" s="310">
        <v>0</v>
      </c>
      <c r="J34" s="310">
        <v>0</v>
      </c>
      <c r="K34" s="310">
        <v>0</v>
      </c>
      <c r="L34" s="310">
        <v>0</v>
      </c>
      <c r="M34" s="311">
        <v>0</v>
      </c>
      <c r="N34" s="325" t="s">
        <v>946</v>
      </c>
    </row>
    <row r="35" spans="1:14">
      <c r="A35" s="264" t="s">
        <v>319</v>
      </c>
      <c r="B35" s="36"/>
      <c r="C35" s="44" t="s">
        <v>320</v>
      </c>
      <c r="D35" s="264"/>
      <c r="E35" s="263">
        <v>0</v>
      </c>
      <c r="F35" s="309">
        <f t="shared" si="3"/>
        <v>0</v>
      </c>
      <c r="G35" s="310">
        <v>0</v>
      </c>
      <c r="H35" s="310">
        <v>0</v>
      </c>
      <c r="I35" s="310">
        <v>0</v>
      </c>
      <c r="J35" s="310">
        <v>0</v>
      </c>
      <c r="K35" s="310">
        <v>0</v>
      </c>
      <c r="L35" s="310">
        <v>0</v>
      </c>
      <c r="M35" s="311">
        <v>0</v>
      </c>
      <c r="N35" s="159"/>
    </row>
    <row r="36" spans="1:14" s="381" customFormat="1">
      <c r="A36" s="265" t="s">
        <v>321</v>
      </c>
      <c r="B36" s="36"/>
      <c r="C36" s="266" t="s">
        <v>322</v>
      </c>
      <c r="D36" s="265"/>
      <c r="E36" s="263">
        <v>0</v>
      </c>
      <c r="F36" s="309">
        <f>SUM(G36:M36)</f>
        <v>0</v>
      </c>
      <c r="G36" s="310">
        <v>0</v>
      </c>
      <c r="H36" s="310">
        <v>0</v>
      </c>
      <c r="I36" s="310">
        <v>0</v>
      </c>
      <c r="J36" s="310">
        <v>0</v>
      </c>
      <c r="K36" s="310">
        <v>0</v>
      </c>
      <c r="L36" s="310">
        <v>0</v>
      </c>
      <c r="M36" s="311">
        <v>0</v>
      </c>
      <c r="N36" s="159"/>
    </row>
    <row r="37" spans="1:14" ht="60.7" customHeight="1">
      <c r="A37" s="265" t="s">
        <v>323</v>
      </c>
      <c r="B37" s="390"/>
      <c r="C37" s="266" t="s">
        <v>324</v>
      </c>
      <c r="D37" s="265"/>
      <c r="E37" s="318">
        <v>0</v>
      </c>
      <c r="F37" s="309">
        <f>SUM(G37:M37)</f>
        <v>0</v>
      </c>
      <c r="G37" s="165">
        <v>0</v>
      </c>
      <c r="H37" s="165">
        <v>0</v>
      </c>
      <c r="I37" s="165">
        <v>0</v>
      </c>
      <c r="J37" s="165">
        <v>0</v>
      </c>
      <c r="K37" s="165">
        <v>0</v>
      </c>
      <c r="L37" s="165">
        <v>0</v>
      </c>
      <c r="M37" s="166">
        <v>0</v>
      </c>
      <c r="N37" s="325"/>
    </row>
    <row r="38" spans="1:14">
      <c r="A38" s="40" t="s">
        <v>326</v>
      </c>
      <c r="B38" s="265"/>
      <c r="C38" s="266"/>
      <c r="D38" s="267"/>
      <c r="E38" s="42">
        <f t="shared" ref="E38:M38" si="4">SUM(E24:E37)</f>
        <v>178</v>
      </c>
      <c r="F38" s="43">
        <f t="shared" si="4"/>
        <v>189</v>
      </c>
      <c r="G38" s="43">
        <f t="shared" si="4"/>
        <v>0</v>
      </c>
      <c r="H38" s="43">
        <f t="shared" si="4"/>
        <v>189</v>
      </c>
      <c r="I38" s="43">
        <f t="shared" si="4"/>
        <v>0</v>
      </c>
      <c r="J38" s="43">
        <f t="shared" si="4"/>
        <v>0</v>
      </c>
      <c r="K38" s="43">
        <f t="shared" si="4"/>
        <v>0</v>
      </c>
      <c r="L38" s="43">
        <f t="shared" si="4"/>
        <v>0</v>
      </c>
      <c r="M38" s="43">
        <f t="shared" si="4"/>
        <v>0</v>
      </c>
      <c r="N38" s="355"/>
    </row>
    <row r="39" spans="1:14" s="151" customFormat="1" ht="29.7">
      <c r="A39" s="40" t="s">
        <v>327</v>
      </c>
      <c r="B39" s="51"/>
      <c r="C39" s="149"/>
      <c r="D39" s="267"/>
      <c r="E39" s="42">
        <v>0</v>
      </c>
      <c r="F39" s="240">
        <f>SUM(G39:L39)</f>
        <v>0</v>
      </c>
      <c r="G39" s="240"/>
      <c r="H39" s="240">
        <v>0</v>
      </c>
      <c r="I39" s="240"/>
      <c r="J39" s="240"/>
      <c r="K39" s="240"/>
      <c r="L39" s="240"/>
      <c r="M39" s="240"/>
      <c r="N39" s="325" t="s">
        <v>947</v>
      </c>
    </row>
    <row r="40" spans="1:14">
      <c r="A40" s="40" t="s">
        <v>328</v>
      </c>
      <c r="B40" s="46"/>
      <c r="C40" s="47"/>
      <c r="D40" s="48">
        <f>D38+D22+D16</f>
        <v>0</v>
      </c>
      <c r="E40" s="42">
        <f>E38+E22+E16-E39</f>
        <v>178</v>
      </c>
      <c r="F40" s="17">
        <f t="shared" ref="F40:M40" si="5">F38+F22+F16-F39</f>
        <v>189</v>
      </c>
      <c r="G40" s="17">
        <f t="shared" si="5"/>
        <v>0</v>
      </c>
      <c r="H40" s="17">
        <f t="shared" si="5"/>
        <v>189</v>
      </c>
      <c r="I40" s="17">
        <f t="shared" si="5"/>
        <v>0</v>
      </c>
      <c r="J40" s="17">
        <f t="shared" si="5"/>
        <v>0</v>
      </c>
      <c r="K40" s="17">
        <f t="shared" si="5"/>
        <v>0</v>
      </c>
      <c r="L40" s="17">
        <f t="shared" si="5"/>
        <v>0</v>
      </c>
      <c r="M40" s="17">
        <f t="shared" si="5"/>
        <v>0</v>
      </c>
      <c r="N40" s="353"/>
    </row>
    <row r="43" spans="1:14" s="381" customFormat="1" ht="15.6" thickBot="1">
      <c r="A43" s="603"/>
      <c r="B43" s="603"/>
      <c r="C43" s="604"/>
      <c r="D43" s="603"/>
      <c r="E43" s="603"/>
      <c r="F43" s="603"/>
      <c r="G43" s="603"/>
      <c r="H43" s="603"/>
      <c r="I43" s="603"/>
      <c r="J43" s="603"/>
      <c r="K43" s="603"/>
      <c r="L43" s="603"/>
      <c r="M43" s="603"/>
      <c r="N43" s="605"/>
    </row>
    <row r="44" spans="1:14" s="381" customFormat="1" ht="15.6">
      <c r="A44" s="855" t="s">
        <v>330</v>
      </c>
      <c r="B44" s="856"/>
      <c r="C44" s="856"/>
      <c r="D44" s="856"/>
      <c r="E44" s="856"/>
      <c r="F44" s="856"/>
      <c r="G44" s="606"/>
      <c r="H44" s="603"/>
      <c r="I44" s="603"/>
      <c r="J44" s="603"/>
      <c r="K44" s="603"/>
      <c r="L44" s="603"/>
      <c r="M44" s="603"/>
      <c r="N44" s="605"/>
    </row>
    <row r="45" spans="1:14" s="381" customFormat="1" ht="15.6">
      <c r="A45" s="857"/>
      <c r="B45" s="858"/>
      <c r="C45" s="858"/>
      <c r="D45" s="858"/>
      <c r="E45" s="858"/>
      <c r="F45" s="858"/>
      <c r="G45" s="607"/>
      <c r="H45" s="603"/>
      <c r="I45" s="603"/>
      <c r="J45" s="603"/>
      <c r="K45" s="603"/>
      <c r="L45" s="603"/>
      <c r="M45" s="603"/>
      <c r="N45" s="605"/>
    </row>
    <row r="46" spans="1:14" s="381" customFormat="1">
      <c r="A46" s="859" t="s">
        <v>331</v>
      </c>
      <c r="B46" s="860"/>
      <c r="C46" s="608"/>
      <c r="D46" s="608"/>
      <c r="E46" s="608"/>
      <c r="F46" s="608"/>
      <c r="G46" s="607"/>
      <c r="H46" s="603"/>
      <c r="I46" s="603"/>
      <c r="J46" s="603"/>
      <c r="K46" s="603"/>
      <c r="L46" s="603"/>
      <c r="M46" s="603"/>
      <c r="N46" s="605"/>
    </row>
    <row r="47" spans="1:14" s="381" customFormat="1">
      <c r="A47" s="609" t="s">
        <v>480</v>
      </c>
      <c r="B47" s="610">
        <f>E40</f>
        <v>178</v>
      </c>
      <c r="C47" s="611"/>
      <c r="D47" s="612"/>
      <c r="E47" s="612"/>
      <c r="F47" s="612"/>
      <c r="G47" s="607"/>
      <c r="H47" s="603"/>
      <c r="I47" s="603"/>
      <c r="J47" s="603"/>
      <c r="K47" s="603"/>
      <c r="L47" s="603"/>
      <c r="M47" s="603"/>
      <c r="N47" s="605"/>
    </row>
    <row r="48" spans="1:14" s="381" customFormat="1">
      <c r="A48" s="613" t="s">
        <v>481</v>
      </c>
      <c r="B48" s="614">
        <f>F40</f>
        <v>189</v>
      </c>
      <c r="C48" s="611"/>
      <c r="D48" s="612"/>
      <c r="E48" s="612"/>
      <c r="F48" s="612"/>
      <c r="G48" s="607"/>
      <c r="H48" s="603"/>
      <c r="I48" s="603"/>
      <c r="J48" s="603"/>
      <c r="K48" s="603"/>
      <c r="L48" s="603"/>
      <c r="M48" s="603"/>
      <c r="N48" s="605"/>
    </row>
    <row r="49" spans="1:14" s="381" customFormat="1">
      <c r="A49" s="615" t="s">
        <v>334</v>
      </c>
      <c r="B49" s="616">
        <f>B48-B47</f>
        <v>11</v>
      </c>
      <c r="C49" s="611"/>
      <c r="D49" s="612"/>
      <c r="E49" s="612"/>
      <c r="F49" s="612"/>
      <c r="G49" s="607"/>
      <c r="H49" s="603"/>
      <c r="I49" s="603"/>
      <c r="J49" s="603"/>
      <c r="K49" s="603"/>
      <c r="L49" s="603"/>
      <c r="M49" s="603"/>
      <c r="N49" s="605"/>
    </row>
    <row r="50" spans="1:14" s="381" customFormat="1">
      <c r="A50" s="615" t="s">
        <v>335</v>
      </c>
      <c r="B50" s="617">
        <f>B49/B47</f>
        <v>6.1797752808988762E-2</v>
      </c>
      <c r="C50" s="611"/>
      <c r="D50" s="612"/>
      <c r="E50" s="612"/>
      <c r="F50" s="612"/>
      <c r="G50" s="607"/>
      <c r="H50" s="603"/>
      <c r="I50" s="603"/>
      <c r="J50" s="603"/>
      <c r="K50" s="603"/>
      <c r="L50" s="603"/>
      <c r="M50" s="603"/>
      <c r="N50" s="605"/>
    </row>
    <row r="51" spans="1:14" s="381" customFormat="1">
      <c r="A51" s="618"/>
      <c r="B51" s="612"/>
      <c r="C51" s="619"/>
      <c r="D51" s="612"/>
      <c r="E51" s="612"/>
      <c r="F51" s="612"/>
      <c r="G51" s="607"/>
      <c r="H51" s="603"/>
      <c r="I51" s="603"/>
      <c r="J51" s="603"/>
      <c r="K51" s="603"/>
      <c r="L51" s="603"/>
      <c r="M51" s="603"/>
      <c r="N51" s="605"/>
    </row>
    <row r="52" spans="1:14" s="381" customFormat="1">
      <c r="A52" s="842" t="s">
        <v>336</v>
      </c>
      <c r="B52" s="843"/>
      <c r="C52" s="843"/>
      <c r="D52" s="843"/>
      <c r="E52" s="843"/>
      <c r="F52" s="843"/>
      <c r="G52" s="607"/>
      <c r="H52" s="603"/>
      <c r="I52" s="603"/>
      <c r="J52" s="603"/>
      <c r="K52" s="603"/>
      <c r="L52" s="603"/>
      <c r="M52" s="603"/>
      <c r="N52" s="605"/>
    </row>
    <row r="53" spans="1:14" s="381" customFormat="1" ht="39.75" customHeight="1">
      <c r="A53" s="848" t="s">
        <v>948</v>
      </c>
      <c r="B53" s="849"/>
      <c r="C53" s="849"/>
      <c r="D53" s="849"/>
      <c r="E53" s="849"/>
      <c r="F53" s="850"/>
      <c r="G53" s="607"/>
      <c r="H53" s="603"/>
      <c r="I53" s="603"/>
      <c r="J53" s="603"/>
      <c r="K53" s="603"/>
      <c r="L53" s="603"/>
      <c r="M53" s="603"/>
      <c r="N53" s="605"/>
    </row>
    <row r="54" spans="1:14" s="381" customFormat="1">
      <c r="A54" s="620"/>
      <c r="B54" s="621"/>
      <c r="C54" s="621"/>
      <c r="D54" s="621"/>
      <c r="E54" s="621"/>
      <c r="F54" s="621"/>
      <c r="G54" s="607"/>
      <c r="H54" s="603"/>
      <c r="I54" s="603"/>
      <c r="J54" s="603"/>
      <c r="K54" s="603"/>
      <c r="L54" s="603"/>
      <c r="M54" s="603"/>
      <c r="N54" s="605"/>
    </row>
    <row r="55" spans="1:14" s="381" customFormat="1">
      <c r="A55" s="622" t="s">
        <v>337</v>
      </c>
      <c r="B55" s="612"/>
      <c r="C55" s="619"/>
      <c r="D55" s="612"/>
      <c r="E55" s="612"/>
      <c r="F55" s="612"/>
      <c r="G55" s="607"/>
      <c r="H55" s="603"/>
      <c r="I55" s="603"/>
      <c r="J55" s="603"/>
      <c r="K55" s="603"/>
      <c r="L55" s="603"/>
      <c r="M55" s="603"/>
      <c r="N55" s="605"/>
    </row>
    <row r="56" spans="1:14" s="381" customFormat="1" ht="48.25" customHeight="1">
      <c r="A56" s="848" t="s">
        <v>949</v>
      </c>
      <c r="B56" s="849"/>
      <c r="C56" s="849"/>
      <c r="D56" s="849"/>
      <c r="E56" s="849"/>
      <c r="F56" s="850"/>
      <c r="G56" s="607"/>
      <c r="H56" s="603"/>
      <c r="I56" s="603"/>
      <c r="J56" s="603"/>
      <c r="K56" s="603"/>
      <c r="L56" s="603"/>
      <c r="M56" s="603"/>
      <c r="N56" s="605"/>
    </row>
    <row r="57" spans="1:14" s="381" customFormat="1">
      <c r="A57" s="618"/>
      <c r="B57" s="612"/>
      <c r="C57" s="619"/>
      <c r="D57" s="612"/>
      <c r="E57" s="612"/>
      <c r="F57" s="612"/>
      <c r="G57" s="607"/>
      <c r="H57" s="603"/>
      <c r="I57" s="603"/>
      <c r="J57" s="603"/>
      <c r="K57" s="603"/>
      <c r="L57" s="603"/>
      <c r="M57" s="603"/>
      <c r="N57" s="605"/>
    </row>
    <row r="58" spans="1:14" s="381" customFormat="1">
      <c r="A58" s="851" t="s">
        <v>365</v>
      </c>
      <c r="B58" s="852"/>
      <c r="C58" s="852"/>
      <c r="D58" s="852"/>
      <c r="E58" s="852"/>
      <c r="F58" s="852"/>
      <c r="G58" s="607"/>
      <c r="H58" s="603"/>
      <c r="I58" s="603"/>
      <c r="J58" s="603"/>
      <c r="K58" s="603"/>
      <c r="L58" s="603"/>
      <c r="M58" s="603"/>
      <c r="N58" s="605"/>
    </row>
    <row r="59" spans="1:14" s="381" customFormat="1">
      <c r="A59" s="853" t="s">
        <v>950</v>
      </c>
      <c r="B59" s="854"/>
      <c r="C59" s="854"/>
      <c r="D59" s="854"/>
      <c r="E59" s="854"/>
      <c r="F59" s="854"/>
      <c r="G59" s="607"/>
      <c r="H59" s="603"/>
      <c r="I59" s="603"/>
      <c r="J59" s="603"/>
      <c r="K59" s="603"/>
      <c r="L59" s="603"/>
      <c r="M59" s="603"/>
      <c r="N59" s="605"/>
    </row>
    <row r="60" spans="1:14" s="381" customFormat="1" ht="40.85" customHeight="1">
      <c r="A60" s="839" t="s">
        <v>951</v>
      </c>
      <c r="B60" s="840"/>
      <c r="C60" s="840"/>
      <c r="D60" s="840"/>
      <c r="E60" s="840"/>
      <c r="F60" s="841"/>
      <c r="G60" s="607"/>
      <c r="H60" s="603"/>
      <c r="I60" s="603"/>
      <c r="J60" s="603"/>
      <c r="K60" s="603"/>
      <c r="L60" s="603"/>
      <c r="M60" s="603"/>
      <c r="N60" s="605"/>
    </row>
    <row r="61" spans="1:14" s="381" customFormat="1">
      <c r="A61" s="622"/>
      <c r="B61" s="612"/>
      <c r="C61" s="619"/>
      <c r="D61" s="612"/>
      <c r="E61" s="612"/>
      <c r="F61" s="612"/>
      <c r="G61" s="607"/>
      <c r="H61" s="603"/>
      <c r="I61" s="603"/>
      <c r="J61" s="603"/>
      <c r="K61" s="603"/>
      <c r="L61" s="603"/>
      <c r="M61" s="603"/>
      <c r="N61" s="605"/>
    </row>
    <row r="62" spans="1:14" s="381" customFormat="1">
      <c r="A62" s="842" t="s">
        <v>340</v>
      </c>
      <c r="B62" s="843"/>
      <c r="C62" s="843"/>
      <c r="D62" s="843"/>
      <c r="E62" s="843"/>
      <c r="F62" s="612"/>
      <c r="G62" s="607"/>
      <c r="H62" s="603"/>
      <c r="I62" s="603"/>
      <c r="J62" s="603"/>
      <c r="K62" s="603"/>
      <c r="L62" s="603"/>
      <c r="M62" s="603"/>
      <c r="N62" s="605"/>
    </row>
    <row r="63" spans="1:14" s="381" customFormat="1">
      <c r="A63" s="839" t="s">
        <v>952</v>
      </c>
      <c r="B63" s="840"/>
      <c r="C63" s="840"/>
      <c r="D63" s="840"/>
      <c r="E63" s="840"/>
      <c r="F63" s="841"/>
      <c r="G63" s="607"/>
      <c r="H63" s="603"/>
      <c r="I63" s="603"/>
      <c r="J63" s="603"/>
      <c r="K63" s="603"/>
      <c r="L63" s="603"/>
      <c r="M63" s="603"/>
      <c r="N63" s="605"/>
    </row>
    <row r="64" spans="1:14" s="381" customFormat="1">
      <c r="A64" s="618"/>
      <c r="B64" s="612"/>
      <c r="C64" s="619"/>
      <c r="D64" s="612"/>
      <c r="E64" s="612"/>
      <c r="F64" s="612"/>
      <c r="G64" s="607"/>
      <c r="H64" s="603"/>
      <c r="I64" s="603"/>
      <c r="J64" s="603"/>
      <c r="K64" s="603"/>
      <c r="L64" s="603"/>
      <c r="M64" s="603"/>
      <c r="N64" s="605"/>
    </row>
    <row r="65" spans="1:14" s="381" customFormat="1">
      <c r="A65" s="622" t="s">
        <v>953</v>
      </c>
      <c r="B65" s="612"/>
      <c r="C65" s="619"/>
      <c r="D65" s="612"/>
      <c r="E65" s="612"/>
      <c r="F65" s="612"/>
      <c r="G65" s="607"/>
      <c r="H65" s="603"/>
      <c r="I65" s="603"/>
      <c r="J65" s="603"/>
      <c r="K65" s="603"/>
      <c r="L65" s="603"/>
      <c r="M65" s="603"/>
      <c r="N65" s="605"/>
    </row>
    <row r="66" spans="1:14" s="381" customFormat="1">
      <c r="A66" s="623" t="s">
        <v>342</v>
      </c>
      <c r="B66" s="612"/>
      <c r="C66" s="619"/>
      <c r="D66" s="612"/>
      <c r="E66" s="612"/>
      <c r="F66" s="612"/>
      <c r="G66" s="607"/>
      <c r="H66" s="603"/>
      <c r="I66" s="603"/>
      <c r="J66" s="603"/>
      <c r="K66" s="603"/>
      <c r="L66" s="603"/>
      <c r="M66" s="603"/>
      <c r="N66" s="605"/>
    </row>
    <row r="67" spans="1:14" s="381" customFormat="1" ht="28.95" customHeight="1">
      <c r="A67" s="844" t="s">
        <v>343</v>
      </c>
      <c r="B67" s="845"/>
      <c r="C67" s="845"/>
      <c r="D67" s="845"/>
      <c r="E67" s="845"/>
      <c r="F67" s="845"/>
      <c r="G67" s="607"/>
      <c r="H67" s="603"/>
      <c r="I67" s="603"/>
      <c r="J67" s="603"/>
      <c r="K67" s="603"/>
      <c r="L67" s="603"/>
      <c r="M67" s="603"/>
      <c r="N67" s="605"/>
    </row>
    <row r="68" spans="1:14" s="381" customFormat="1" ht="54.95" customHeight="1">
      <c r="A68" s="839" t="s">
        <v>954</v>
      </c>
      <c r="B68" s="840"/>
      <c r="C68" s="840"/>
      <c r="D68" s="840"/>
      <c r="E68" s="840"/>
      <c r="F68" s="841"/>
      <c r="G68" s="607"/>
      <c r="H68" s="603"/>
      <c r="I68" s="603"/>
      <c r="J68" s="603"/>
      <c r="K68" s="603"/>
      <c r="L68" s="603"/>
      <c r="M68" s="603"/>
      <c r="N68" s="605"/>
    </row>
    <row r="69" spans="1:14" s="381" customFormat="1">
      <c r="A69" s="846"/>
      <c r="B69" s="847"/>
      <c r="C69" s="847"/>
      <c r="D69" s="847"/>
      <c r="E69" s="847"/>
      <c r="F69" s="847"/>
      <c r="G69" s="607"/>
      <c r="H69" s="603"/>
      <c r="I69" s="603"/>
      <c r="J69" s="603"/>
      <c r="K69" s="603"/>
      <c r="L69" s="603"/>
      <c r="M69" s="603"/>
      <c r="N69" s="605"/>
    </row>
    <row r="70" spans="1:14" s="381" customFormat="1">
      <c r="A70" s="623" t="s">
        <v>344</v>
      </c>
      <c r="B70" s="612"/>
      <c r="C70" s="619"/>
      <c r="D70" s="612"/>
      <c r="E70" s="612"/>
      <c r="F70" s="612"/>
      <c r="G70" s="607"/>
      <c r="H70" s="603"/>
      <c r="I70" s="603"/>
      <c r="J70" s="603"/>
      <c r="K70" s="603"/>
      <c r="L70" s="603"/>
      <c r="M70" s="603"/>
      <c r="N70" s="605"/>
    </row>
    <row r="71" spans="1:14" s="381" customFormat="1" ht="40.85" customHeight="1">
      <c r="A71" s="837" t="s">
        <v>345</v>
      </c>
      <c r="B71" s="838"/>
      <c r="C71" s="838"/>
      <c r="D71" s="838"/>
      <c r="E71" s="838"/>
      <c r="F71" s="838"/>
      <c r="G71" s="607"/>
      <c r="H71" s="603"/>
      <c r="I71" s="603"/>
      <c r="J71" s="603"/>
      <c r="K71" s="603"/>
      <c r="L71" s="603"/>
      <c r="M71" s="603"/>
      <c r="N71" s="605"/>
    </row>
    <row r="72" spans="1:14" s="381" customFormat="1">
      <c r="A72" s="839" t="s">
        <v>679</v>
      </c>
      <c r="B72" s="840"/>
      <c r="C72" s="840"/>
      <c r="D72" s="840"/>
      <c r="E72" s="840"/>
      <c r="F72" s="841"/>
      <c r="G72" s="607"/>
      <c r="H72" s="603"/>
      <c r="I72" s="603"/>
      <c r="J72" s="603"/>
      <c r="K72" s="603"/>
      <c r="L72" s="603"/>
      <c r="M72" s="603"/>
      <c r="N72" s="605"/>
    </row>
    <row r="73" spans="1:14" s="381" customFormat="1" ht="15.6" thickBot="1">
      <c r="A73" s="624"/>
      <c r="B73" s="625"/>
      <c r="C73" s="626"/>
      <c r="D73" s="625"/>
      <c r="E73" s="625"/>
      <c r="F73" s="625"/>
      <c r="G73" s="627"/>
      <c r="H73" s="603"/>
      <c r="I73" s="603"/>
      <c r="J73" s="603"/>
      <c r="K73" s="603"/>
      <c r="L73" s="603"/>
      <c r="M73" s="603"/>
      <c r="N73" s="605"/>
    </row>
    <row r="74" spans="1:14" s="381" customFormat="1">
      <c r="A74" s="603"/>
      <c r="B74" s="603"/>
      <c r="C74" s="604"/>
      <c r="D74" s="603"/>
      <c r="E74" s="603"/>
      <c r="F74" s="603"/>
      <c r="G74" s="603"/>
      <c r="H74" s="603"/>
      <c r="I74" s="603"/>
      <c r="J74" s="603"/>
      <c r="K74" s="603"/>
      <c r="L74" s="603"/>
      <c r="M74" s="603"/>
      <c r="N74" s="605"/>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73" fitToHeight="0" orientation="landscape" r:id="rId1"/>
  <headerFooter>
    <oddHeader xml:space="preserve">&amp;CDRAFT NOT FOR DISTRIBUTION, INTERNAL USE ONLY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tint="-0.249977111117893"/>
    <pageSetUpPr fitToPage="1"/>
  </sheetPr>
  <dimension ref="A1:N81"/>
  <sheetViews>
    <sheetView zoomScaleNormal="100" workbookViewId="0">
      <selection sqref="A1:N1"/>
    </sheetView>
  </sheetViews>
  <sheetFormatPr defaultColWidth="8.85546875" defaultRowHeight="14.85"/>
  <cols>
    <col min="1" max="1" width="39.5703125" style="381" customWidth="1"/>
    <col min="2" max="2" width="16" style="381" customWidth="1"/>
    <col min="3" max="3" width="7.7109375" style="381" customWidth="1"/>
    <col min="4" max="4" width="8.7109375" style="381" customWidth="1"/>
    <col min="5" max="5" width="10.7109375" style="381" customWidth="1"/>
    <col min="6" max="7" width="11" style="381" customWidth="1"/>
    <col min="8" max="8" width="9.85546875" style="381" customWidth="1"/>
    <col min="9" max="10" width="7.140625" style="381" customWidth="1"/>
    <col min="11" max="11" width="7.7109375" style="381" customWidth="1"/>
    <col min="12" max="12" width="9.7109375" style="381" customWidth="1"/>
    <col min="13" max="13" width="8.85546875" style="381"/>
    <col min="14" max="14" width="47.28515625" style="381" customWidth="1"/>
    <col min="15" max="16384" width="8.85546875" style="381"/>
  </cols>
  <sheetData>
    <row r="1" spans="1:14" ht="15.6">
      <c r="A1" s="745" t="s">
        <v>227</v>
      </c>
      <c r="B1" s="745"/>
      <c r="C1" s="745"/>
      <c r="D1" s="745"/>
      <c r="E1" s="745"/>
      <c r="F1" s="745"/>
      <c r="G1" s="745"/>
      <c r="H1" s="745"/>
      <c r="I1" s="745"/>
      <c r="J1" s="745"/>
      <c r="K1" s="745"/>
      <c r="L1" s="745"/>
      <c r="M1" s="745"/>
      <c r="N1" s="745"/>
    </row>
    <row r="2" spans="1:14">
      <c r="A2" s="65" t="s">
        <v>797</v>
      </c>
      <c r="C2" s="687"/>
    </row>
    <row r="3" spans="1:14">
      <c r="A3" s="68" t="s">
        <v>955</v>
      </c>
      <c r="C3" s="687"/>
      <c r="F3" s="29"/>
      <c r="G3" s="554" t="s">
        <v>275</v>
      </c>
      <c r="H3" s="29"/>
    </row>
    <row r="4" spans="1:14">
      <c r="A4" s="68" t="s">
        <v>956</v>
      </c>
      <c r="B4" s="31"/>
      <c r="C4" s="32"/>
      <c r="D4" s="31"/>
      <c r="E4" s="3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s="29" customFormat="1" ht="29.7">
      <c r="A7" s="504" t="s">
        <v>957</v>
      </c>
      <c r="B7" s="504" t="s">
        <v>864</v>
      </c>
      <c r="C7" s="505" t="s">
        <v>287</v>
      </c>
      <c r="D7" s="506">
        <v>0.5</v>
      </c>
      <c r="E7" s="458">
        <v>0</v>
      </c>
      <c r="F7" s="43">
        <f>SUM(G7:M7)</f>
        <v>87</v>
      </c>
      <c r="G7" s="263">
        <v>0</v>
      </c>
      <c r="H7" s="263">
        <v>0</v>
      </c>
      <c r="I7" s="263">
        <v>0</v>
      </c>
      <c r="J7" s="263">
        <v>0</v>
      </c>
      <c r="K7" s="263">
        <v>0</v>
      </c>
      <c r="L7" s="263">
        <v>87</v>
      </c>
      <c r="M7" s="311"/>
      <c r="N7" s="325" t="s">
        <v>958</v>
      </c>
    </row>
    <row r="8" spans="1:14" ht="15.05" customHeight="1">
      <c r="A8" s="504" t="s">
        <v>551</v>
      </c>
      <c r="B8" s="508"/>
      <c r="C8" s="505" t="s">
        <v>287</v>
      </c>
      <c r="D8" s="507"/>
      <c r="E8" s="42">
        <v>0</v>
      </c>
      <c r="F8" s="43">
        <f t="shared" ref="F8:F12" si="0">SUM(G8:M8)</f>
        <v>0</v>
      </c>
      <c r="G8" s="263">
        <v>0</v>
      </c>
      <c r="H8" s="263">
        <v>0</v>
      </c>
      <c r="I8" s="263">
        <v>0</v>
      </c>
      <c r="J8" s="263">
        <v>0</v>
      </c>
      <c r="K8" s="263">
        <v>0</v>
      </c>
      <c r="L8" s="263">
        <v>0</v>
      </c>
      <c r="M8" s="311">
        <v>0</v>
      </c>
      <c r="N8" s="326"/>
    </row>
    <row r="9" spans="1:14" ht="15.05" customHeight="1">
      <c r="A9" s="504" t="s">
        <v>551</v>
      </c>
      <c r="B9" s="508"/>
      <c r="C9" s="505" t="s">
        <v>287</v>
      </c>
      <c r="D9" s="507"/>
      <c r="E9" s="42">
        <v>0</v>
      </c>
      <c r="F9" s="43">
        <f t="shared" si="0"/>
        <v>0</v>
      </c>
      <c r="G9" s="263">
        <v>0</v>
      </c>
      <c r="H9" s="263">
        <v>0</v>
      </c>
      <c r="I9" s="263">
        <v>0</v>
      </c>
      <c r="J9" s="263">
        <v>0</v>
      </c>
      <c r="K9" s="263">
        <v>0</v>
      </c>
      <c r="L9" s="263">
        <v>0</v>
      </c>
      <c r="M9" s="311">
        <v>0</v>
      </c>
      <c r="N9" s="326"/>
    </row>
    <row r="10" spans="1:14" ht="15.05" customHeight="1">
      <c r="A10" s="504" t="s">
        <v>551</v>
      </c>
      <c r="B10" s="509"/>
      <c r="C10" s="505" t="s">
        <v>287</v>
      </c>
      <c r="D10" s="507"/>
      <c r="E10" s="42">
        <v>0</v>
      </c>
      <c r="F10" s="43">
        <f t="shared" si="0"/>
        <v>0</v>
      </c>
      <c r="G10" s="263">
        <v>0</v>
      </c>
      <c r="H10" s="263">
        <v>0</v>
      </c>
      <c r="I10" s="263">
        <v>0</v>
      </c>
      <c r="J10" s="263">
        <v>0</v>
      </c>
      <c r="K10" s="263">
        <v>0</v>
      </c>
      <c r="L10" s="263">
        <v>0</v>
      </c>
      <c r="M10" s="311">
        <v>0</v>
      </c>
      <c r="N10" s="326"/>
    </row>
    <row r="11" spans="1:14" ht="15.05" customHeight="1">
      <c r="A11" s="36" t="s">
        <v>426</v>
      </c>
      <c r="B11" s="36"/>
      <c r="C11" s="37" t="s">
        <v>287</v>
      </c>
      <c r="D11" s="39"/>
      <c r="E11" s="42"/>
      <c r="F11" s="43">
        <f t="shared" si="0"/>
        <v>0</v>
      </c>
      <c r="G11" s="263">
        <v>0</v>
      </c>
      <c r="H11" s="263">
        <v>0</v>
      </c>
      <c r="I11" s="263">
        <v>0</v>
      </c>
      <c r="J11" s="263">
        <v>0</v>
      </c>
      <c r="K11" s="263">
        <v>0</v>
      </c>
      <c r="L11" s="263">
        <v>0</v>
      </c>
      <c r="M11" s="311">
        <v>0</v>
      </c>
      <c r="N11" s="326"/>
    </row>
    <row r="12" spans="1:14" ht="15.05" customHeight="1">
      <c r="A12" s="36" t="s">
        <v>426</v>
      </c>
      <c r="B12" s="264"/>
      <c r="C12" s="37" t="s">
        <v>287</v>
      </c>
      <c r="D12" s="39"/>
      <c r="E12" s="42"/>
      <c r="F12" s="43">
        <f t="shared" si="0"/>
        <v>0</v>
      </c>
      <c r="G12" s="263">
        <v>0</v>
      </c>
      <c r="H12" s="263">
        <v>0</v>
      </c>
      <c r="I12" s="263">
        <v>0</v>
      </c>
      <c r="J12" s="263">
        <v>0</v>
      </c>
      <c r="K12" s="263">
        <v>0</v>
      </c>
      <c r="L12" s="263">
        <v>0</v>
      </c>
      <c r="M12" s="311">
        <v>0</v>
      </c>
      <c r="N12" s="326"/>
    </row>
    <row r="13" spans="1:14" ht="15.05" customHeight="1">
      <c r="A13" s="40" t="s">
        <v>288</v>
      </c>
      <c r="B13" s="265"/>
      <c r="C13" s="266"/>
      <c r="D13" s="41">
        <f t="shared" ref="D13:M13" si="1">SUM(D7:D12)</f>
        <v>0.5</v>
      </c>
      <c r="E13" s="42">
        <f t="shared" si="1"/>
        <v>0</v>
      </c>
      <c r="F13" s="43">
        <f t="shared" si="1"/>
        <v>87</v>
      </c>
      <c r="G13" s="43">
        <f t="shared" si="1"/>
        <v>0</v>
      </c>
      <c r="H13" s="43">
        <f t="shared" si="1"/>
        <v>0</v>
      </c>
      <c r="I13" s="43">
        <f t="shared" si="1"/>
        <v>0</v>
      </c>
      <c r="J13" s="43">
        <f t="shared" si="1"/>
        <v>0</v>
      </c>
      <c r="K13" s="43">
        <f t="shared" si="1"/>
        <v>0</v>
      </c>
      <c r="L13" s="43">
        <f t="shared" si="1"/>
        <v>87</v>
      </c>
      <c r="M13" s="43">
        <f t="shared" si="1"/>
        <v>0</v>
      </c>
      <c r="N13" s="43"/>
    </row>
    <row r="14" spans="1:14" ht="15.05" customHeight="1">
      <c r="A14" s="69" t="s">
        <v>289</v>
      </c>
      <c r="B14" s="70"/>
      <c r="C14" s="71"/>
      <c r="D14" s="70"/>
      <c r="E14" s="70"/>
      <c r="F14" s="72"/>
      <c r="G14" s="72"/>
      <c r="H14" s="72"/>
      <c r="I14" s="72"/>
      <c r="J14" s="72"/>
      <c r="K14" s="72"/>
      <c r="L14" s="72"/>
      <c r="M14" s="72"/>
      <c r="N14" s="72"/>
    </row>
    <row r="15" spans="1:14" ht="48.25" customHeight="1">
      <c r="A15" s="264" t="s">
        <v>959</v>
      </c>
      <c r="B15" s="264"/>
      <c r="C15" s="44">
        <v>253</v>
      </c>
      <c r="D15" s="45"/>
      <c r="E15" s="263">
        <v>0</v>
      </c>
      <c r="F15" s="309">
        <f t="shared" ref="F15:F20" si="2">SUM(G15:M15)</f>
        <v>0</v>
      </c>
      <c r="G15" s="310">
        <v>0</v>
      </c>
      <c r="H15" s="310">
        <v>0</v>
      </c>
      <c r="I15" s="310">
        <v>0</v>
      </c>
      <c r="J15" s="310">
        <v>0</v>
      </c>
      <c r="K15" s="310">
        <v>0</v>
      </c>
      <c r="L15" s="310">
        <v>0</v>
      </c>
      <c r="M15" s="311">
        <v>0</v>
      </c>
      <c r="N15" s="510" t="s">
        <v>960</v>
      </c>
    </row>
    <row r="16" spans="1:14" ht="30.8" customHeight="1">
      <c r="A16" s="264" t="s">
        <v>961</v>
      </c>
      <c r="B16" s="264"/>
      <c r="C16" s="44">
        <v>253</v>
      </c>
      <c r="D16" s="45"/>
      <c r="E16" s="263">
        <v>0</v>
      </c>
      <c r="F16" s="309">
        <f t="shared" si="2"/>
        <v>0</v>
      </c>
      <c r="G16" s="310">
        <v>0</v>
      </c>
      <c r="H16" s="310">
        <v>0</v>
      </c>
      <c r="I16" s="310">
        <v>0</v>
      </c>
      <c r="J16" s="310">
        <v>0</v>
      </c>
      <c r="K16" s="310">
        <v>0</v>
      </c>
      <c r="L16" s="310">
        <v>0</v>
      </c>
      <c r="M16" s="311">
        <v>0</v>
      </c>
      <c r="N16" s="510" t="s">
        <v>962</v>
      </c>
    </row>
    <row r="17" spans="1:14" ht="44.55">
      <c r="A17" s="264" t="s">
        <v>961</v>
      </c>
      <c r="B17" s="264" t="s">
        <v>963</v>
      </c>
      <c r="C17" s="44">
        <v>253</v>
      </c>
      <c r="D17" s="45"/>
      <c r="E17" s="263">
        <v>200</v>
      </c>
      <c r="F17" s="309">
        <f t="shared" si="2"/>
        <v>200</v>
      </c>
      <c r="G17" s="310">
        <v>0</v>
      </c>
      <c r="H17" s="310">
        <v>0</v>
      </c>
      <c r="I17" s="310">
        <v>0</v>
      </c>
      <c r="J17" s="310">
        <v>0</v>
      </c>
      <c r="K17" s="310">
        <v>0</v>
      </c>
      <c r="L17" s="310">
        <v>200</v>
      </c>
      <c r="M17" s="311">
        <v>0</v>
      </c>
      <c r="N17" s="510" t="s">
        <v>964</v>
      </c>
    </row>
    <row r="18" spans="1:14" ht="29.7">
      <c r="A18" s="264" t="s">
        <v>961</v>
      </c>
      <c r="B18" s="575" t="s">
        <v>965</v>
      </c>
      <c r="C18" s="44">
        <v>253</v>
      </c>
      <c r="D18" s="267"/>
      <c r="E18" s="263">
        <v>125</v>
      </c>
      <c r="F18" s="309">
        <f t="shared" si="2"/>
        <v>150</v>
      </c>
      <c r="G18" s="310"/>
      <c r="H18" s="310"/>
      <c r="I18" s="310"/>
      <c r="J18" s="310"/>
      <c r="K18" s="310"/>
      <c r="L18" s="310">
        <v>150</v>
      </c>
      <c r="M18" s="311">
        <v>0</v>
      </c>
      <c r="N18" s="93" t="s">
        <v>966</v>
      </c>
    </row>
    <row r="19" spans="1:14" ht="26">
      <c r="A19" s="264" t="s">
        <v>961</v>
      </c>
      <c r="B19" s="635" t="s">
        <v>967</v>
      </c>
      <c r="C19" s="44">
        <v>253</v>
      </c>
      <c r="D19" s="267"/>
      <c r="E19" s="263">
        <v>48</v>
      </c>
      <c r="F19" s="357">
        <f t="shared" si="2"/>
        <v>60</v>
      </c>
      <c r="G19" s="310">
        <v>0</v>
      </c>
      <c r="H19" s="310">
        <v>0</v>
      </c>
      <c r="I19" s="310">
        <v>0</v>
      </c>
      <c r="J19" s="310">
        <v>0</v>
      </c>
      <c r="K19" s="310">
        <v>0</v>
      </c>
      <c r="L19" s="310">
        <v>60</v>
      </c>
      <c r="M19" s="311">
        <v>0</v>
      </c>
      <c r="N19" s="635" t="s">
        <v>968</v>
      </c>
    </row>
    <row r="20" spans="1:14" ht="26">
      <c r="A20" s="264" t="s">
        <v>961</v>
      </c>
      <c r="B20" s="635"/>
      <c r="C20" s="44">
        <v>253</v>
      </c>
      <c r="D20" s="267"/>
      <c r="E20" s="263">
        <v>30</v>
      </c>
      <c r="F20" s="357">
        <f t="shared" si="2"/>
        <v>0</v>
      </c>
      <c r="G20" s="310">
        <v>0</v>
      </c>
      <c r="H20" s="310">
        <v>0</v>
      </c>
      <c r="I20" s="310">
        <v>0</v>
      </c>
      <c r="J20" s="310">
        <v>0</v>
      </c>
      <c r="K20" s="310">
        <v>0</v>
      </c>
      <c r="L20" s="310"/>
      <c r="M20" s="311">
        <v>0</v>
      </c>
      <c r="N20" s="635" t="s">
        <v>968</v>
      </c>
    </row>
    <row r="21" spans="1:14">
      <c r="A21" s="40" t="s">
        <v>294</v>
      </c>
      <c r="B21" s="265"/>
      <c r="C21" s="266"/>
      <c r="D21" s="267">
        <f t="shared" ref="D21:M21" si="3">SUM(D15:D20)</f>
        <v>0</v>
      </c>
      <c r="E21" s="42">
        <f>SUM(E15:E20)</f>
        <v>403</v>
      </c>
      <c r="F21" s="43">
        <f t="shared" si="3"/>
        <v>410</v>
      </c>
      <c r="G21" s="43">
        <f t="shared" si="3"/>
        <v>0</v>
      </c>
      <c r="H21" s="43">
        <f t="shared" si="3"/>
        <v>0</v>
      </c>
      <c r="I21" s="43">
        <f t="shared" si="3"/>
        <v>0</v>
      </c>
      <c r="J21" s="43">
        <f t="shared" si="3"/>
        <v>0</v>
      </c>
      <c r="K21" s="43">
        <f t="shared" si="3"/>
        <v>0</v>
      </c>
      <c r="L21" s="43">
        <f t="shared" si="3"/>
        <v>410</v>
      </c>
      <c r="M21" s="43">
        <f t="shared" si="3"/>
        <v>0</v>
      </c>
      <c r="N21" s="355"/>
    </row>
    <row r="22" spans="1:14" s="358" customFormat="1">
      <c r="A22" s="127" t="s">
        <v>295</v>
      </c>
      <c r="B22" s="128"/>
      <c r="C22" s="128"/>
      <c r="D22" s="128"/>
      <c r="E22" s="89"/>
      <c r="F22" s="89"/>
      <c r="G22" s="89"/>
      <c r="H22" s="89"/>
      <c r="I22" s="89"/>
      <c r="J22" s="89"/>
      <c r="K22" s="89"/>
      <c r="L22" s="89"/>
      <c r="M22" s="89"/>
      <c r="N22" s="130"/>
    </row>
    <row r="23" spans="1:14" ht="15.05" customHeight="1">
      <c r="A23" s="264" t="s">
        <v>296</v>
      </c>
      <c r="B23" s="36"/>
      <c r="C23" s="37" t="s">
        <v>297</v>
      </c>
      <c r="D23" s="38">
        <v>0</v>
      </c>
      <c r="E23" s="263">
        <v>12</v>
      </c>
      <c r="F23" s="309">
        <f t="shared" ref="F23:F34" si="4">SUM(G23:M23)</f>
        <v>12</v>
      </c>
      <c r="G23" s="310">
        <v>0</v>
      </c>
      <c r="H23" s="310">
        <v>0</v>
      </c>
      <c r="I23" s="310">
        <v>0</v>
      </c>
      <c r="J23" s="310">
        <v>0</v>
      </c>
      <c r="K23" s="310">
        <v>12</v>
      </c>
      <c r="L23" s="310">
        <f>12-12</f>
        <v>0</v>
      </c>
      <c r="M23" s="311">
        <v>0</v>
      </c>
      <c r="N23" s="325"/>
    </row>
    <row r="24" spans="1:14">
      <c r="A24" s="264" t="s">
        <v>298</v>
      </c>
      <c r="B24" s="36"/>
      <c r="C24" s="44" t="s">
        <v>299</v>
      </c>
      <c r="D24" s="45"/>
      <c r="E24" s="263">
        <v>0</v>
      </c>
      <c r="F24" s="309">
        <f t="shared" si="4"/>
        <v>0</v>
      </c>
      <c r="G24" s="310">
        <v>0</v>
      </c>
      <c r="H24" s="310">
        <v>0</v>
      </c>
      <c r="I24" s="310">
        <v>0</v>
      </c>
      <c r="J24" s="310">
        <v>0</v>
      </c>
      <c r="K24" s="310">
        <v>0</v>
      </c>
      <c r="L24" s="310">
        <v>0</v>
      </c>
      <c r="M24" s="311">
        <v>0</v>
      </c>
      <c r="N24" s="355"/>
    </row>
    <row r="25" spans="1:14">
      <c r="A25" s="264" t="s">
        <v>300</v>
      </c>
      <c r="B25" s="36"/>
      <c r="C25" s="44" t="s">
        <v>301</v>
      </c>
      <c r="D25" s="45"/>
      <c r="E25" s="263">
        <v>0</v>
      </c>
      <c r="F25" s="309">
        <f t="shared" si="4"/>
        <v>0</v>
      </c>
      <c r="G25" s="310">
        <v>0</v>
      </c>
      <c r="H25" s="310">
        <v>0</v>
      </c>
      <c r="I25" s="310">
        <v>0</v>
      </c>
      <c r="J25" s="310">
        <v>0</v>
      </c>
      <c r="K25" s="310">
        <v>0</v>
      </c>
      <c r="L25" s="310">
        <v>0</v>
      </c>
      <c r="M25" s="311">
        <v>0</v>
      </c>
      <c r="N25" s="355"/>
    </row>
    <row r="26" spans="1:14">
      <c r="A26" s="264" t="s">
        <v>302</v>
      </c>
      <c r="B26" s="36"/>
      <c r="C26" s="44" t="s">
        <v>303</v>
      </c>
      <c r="D26" s="45"/>
      <c r="E26" s="263">
        <v>0</v>
      </c>
      <c r="F26" s="309">
        <f t="shared" si="4"/>
        <v>0</v>
      </c>
      <c r="G26" s="310">
        <v>0</v>
      </c>
      <c r="H26" s="310">
        <v>0</v>
      </c>
      <c r="I26" s="310">
        <v>0</v>
      </c>
      <c r="J26" s="310">
        <v>0</v>
      </c>
      <c r="K26" s="310">
        <v>0</v>
      </c>
      <c r="L26" s="310">
        <v>0</v>
      </c>
      <c r="M26" s="311">
        <v>0</v>
      </c>
      <c r="N26" s="355"/>
    </row>
    <row r="27" spans="1:14" ht="59.4">
      <c r="A27" s="511" t="s">
        <v>969</v>
      </c>
      <c r="B27" s="511" t="s">
        <v>970</v>
      </c>
      <c r="C27" s="44">
        <v>251</v>
      </c>
      <c r="D27" s="45"/>
      <c r="E27" s="263">
        <v>556</v>
      </c>
      <c r="F27" s="309">
        <f>SUM(G27:M27)</f>
        <v>562</v>
      </c>
      <c r="G27" s="310">
        <v>0</v>
      </c>
      <c r="H27" s="310">
        <v>0</v>
      </c>
      <c r="I27" s="310">
        <v>0</v>
      </c>
      <c r="J27" s="310">
        <v>0</v>
      </c>
      <c r="K27" s="310">
        <v>562</v>
      </c>
      <c r="L27" s="310">
        <f>556-556</f>
        <v>0</v>
      </c>
      <c r="M27" s="311">
        <v>0</v>
      </c>
      <c r="N27" s="570" t="s">
        <v>971</v>
      </c>
    </row>
    <row r="28" spans="1:14">
      <c r="A28" s="264" t="s">
        <v>313</v>
      </c>
      <c r="B28" s="36"/>
      <c r="C28" s="44">
        <v>252</v>
      </c>
      <c r="D28" s="45"/>
      <c r="E28" s="263">
        <v>0</v>
      </c>
      <c r="F28" s="309">
        <f t="shared" si="4"/>
        <v>0</v>
      </c>
      <c r="G28" s="310">
        <v>0</v>
      </c>
      <c r="H28" s="310">
        <v>0</v>
      </c>
      <c r="I28" s="310">
        <v>0</v>
      </c>
      <c r="J28" s="310">
        <v>0</v>
      </c>
      <c r="K28" s="310">
        <v>0</v>
      </c>
      <c r="L28" s="310"/>
      <c r="M28" s="311">
        <v>0</v>
      </c>
      <c r="N28" s="355"/>
    </row>
    <row r="29" spans="1:14">
      <c r="A29" s="264" t="s">
        <v>314</v>
      </c>
      <c r="B29" s="36"/>
      <c r="C29" s="44">
        <v>252</v>
      </c>
      <c r="D29" s="45"/>
      <c r="E29" s="263">
        <v>15</v>
      </c>
      <c r="F29" s="309">
        <f t="shared" si="4"/>
        <v>15</v>
      </c>
      <c r="G29" s="310">
        <v>0</v>
      </c>
      <c r="H29" s="310">
        <v>0</v>
      </c>
      <c r="I29" s="310">
        <v>0</v>
      </c>
      <c r="J29" s="310">
        <v>0</v>
      </c>
      <c r="K29" s="310">
        <v>15</v>
      </c>
      <c r="L29" s="310">
        <f>15-15</f>
        <v>0</v>
      </c>
      <c r="M29" s="311">
        <v>0</v>
      </c>
      <c r="N29" s="355"/>
    </row>
    <row r="30" spans="1:14">
      <c r="A30" s="264" t="s">
        <v>315</v>
      </c>
      <c r="B30" s="36"/>
      <c r="C30" s="44">
        <v>253</v>
      </c>
      <c r="D30" s="264"/>
      <c r="E30" s="263">
        <v>0</v>
      </c>
      <c r="F30" s="309">
        <f t="shared" si="4"/>
        <v>0</v>
      </c>
      <c r="G30" s="310">
        <v>0</v>
      </c>
      <c r="H30" s="310">
        <v>0</v>
      </c>
      <c r="I30" s="310">
        <v>0</v>
      </c>
      <c r="J30" s="310">
        <v>0</v>
      </c>
      <c r="K30" s="310">
        <v>0</v>
      </c>
      <c r="L30" s="310">
        <v>0</v>
      </c>
      <c r="M30" s="311">
        <v>0</v>
      </c>
      <c r="N30" s="355"/>
    </row>
    <row r="31" spans="1:14">
      <c r="A31" s="264" t="s">
        <v>316</v>
      </c>
      <c r="B31" s="36"/>
      <c r="C31" s="44">
        <v>255</v>
      </c>
      <c r="D31" s="264"/>
      <c r="E31" s="263">
        <v>0</v>
      </c>
      <c r="F31" s="309">
        <f t="shared" si="4"/>
        <v>0</v>
      </c>
      <c r="G31" s="310">
        <v>0</v>
      </c>
      <c r="H31" s="310">
        <v>0</v>
      </c>
      <c r="I31" s="310">
        <v>0</v>
      </c>
      <c r="J31" s="310">
        <v>0</v>
      </c>
      <c r="K31" s="310">
        <v>0</v>
      </c>
      <c r="L31" s="310">
        <v>0</v>
      </c>
      <c r="M31" s="311">
        <v>0</v>
      </c>
      <c r="N31" s="355"/>
    </row>
    <row r="32" spans="1:14">
      <c r="A32" s="264" t="s">
        <v>317</v>
      </c>
      <c r="B32" s="36"/>
      <c r="C32" s="44">
        <v>256</v>
      </c>
      <c r="D32" s="264"/>
      <c r="E32" s="263">
        <v>0</v>
      </c>
      <c r="F32" s="309">
        <f t="shared" si="4"/>
        <v>0</v>
      </c>
      <c r="G32" s="310">
        <v>0</v>
      </c>
      <c r="H32" s="310">
        <v>0</v>
      </c>
      <c r="I32" s="310">
        <v>0</v>
      </c>
      <c r="J32" s="310">
        <v>0</v>
      </c>
      <c r="K32" s="310">
        <v>0</v>
      </c>
      <c r="L32" s="310">
        <v>0</v>
      </c>
      <c r="M32" s="311">
        <v>0</v>
      </c>
      <c r="N32" s="355"/>
    </row>
    <row r="33" spans="1:14">
      <c r="A33" s="264" t="s">
        <v>318</v>
      </c>
      <c r="B33" s="36"/>
      <c r="C33" s="44">
        <v>257</v>
      </c>
      <c r="D33" s="264"/>
      <c r="E33" s="263">
        <v>0</v>
      </c>
      <c r="F33" s="309">
        <f t="shared" si="4"/>
        <v>0</v>
      </c>
      <c r="G33" s="310">
        <v>0</v>
      </c>
      <c r="H33" s="310">
        <v>0</v>
      </c>
      <c r="I33" s="310">
        <v>0</v>
      </c>
      <c r="J33" s="310">
        <v>0</v>
      </c>
      <c r="K33" s="310">
        <v>0</v>
      </c>
      <c r="L33" s="310">
        <v>0</v>
      </c>
      <c r="M33" s="311">
        <v>0</v>
      </c>
      <c r="N33" s="355"/>
    </row>
    <row r="34" spans="1:14">
      <c r="A34" s="264" t="s">
        <v>319</v>
      </c>
      <c r="B34" s="36"/>
      <c r="C34" s="44" t="s">
        <v>320</v>
      </c>
      <c r="D34" s="264"/>
      <c r="E34" s="263">
        <v>1</v>
      </c>
      <c r="F34" s="309">
        <f t="shared" si="4"/>
        <v>1</v>
      </c>
      <c r="G34" s="310">
        <v>0</v>
      </c>
      <c r="H34" s="310">
        <v>0</v>
      </c>
      <c r="I34" s="310">
        <v>0</v>
      </c>
      <c r="J34" s="310">
        <v>0</v>
      </c>
      <c r="K34" s="310">
        <v>1</v>
      </c>
      <c r="L34" s="310">
        <f>1-1</f>
        <v>0</v>
      </c>
      <c r="M34" s="311">
        <v>0</v>
      </c>
      <c r="N34" s="355"/>
    </row>
    <row r="35" spans="1:14">
      <c r="A35" s="265" t="s">
        <v>321</v>
      </c>
      <c r="B35" s="36"/>
      <c r="C35" s="266" t="s">
        <v>322</v>
      </c>
      <c r="D35" s="265"/>
      <c r="E35" s="263">
        <v>4</v>
      </c>
      <c r="F35" s="309">
        <f>SUM(G35:M35)</f>
        <v>4</v>
      </c>
      <c r="G35" s="310">
        <v>0</v>
      </c>
      <c r="H35" s="310">
        <v>0</v>
      </c>
      <c r="I35" s="310">
        <v>0</v>
      </c>
      <c r="J35" s="310"/>
      <c r="K35" s="310">
        <v>4</v>
      </c>
      <c r="L35" s="310">
        <f>4-4</f>
        <v>0</v>
      </c>
      <c r="M35" s="311">
        <v>0</v>
      </c>
      <c r="N35" s="325"/>
    </row>
    <row r="36" spans="1:14" ht="29.7">
      <c r="A36" s="265" t="s">
        <v>323</v>
      </c>
      <c r="B36" s="390"/>
      <c r="C36" s="266" t="s">
        <v>324</v>
      </c>
      <c r="D36" s="265"/>
      <c r="E36" s="318">
        <v>0</v>
      </c>
      <c r="F36" s="309">
        <f>SUM(G36:M36)</f>
        <v>-131</v>
      </c>
      <c r="G36" s="310">
        <v>0</v>
      </c>
      <c r="H36" s="310">
        <v>0</v>
      </c>
      <c r="I36" s="310">
        <v>0</v>
      </c>
      <c r="J36" s="310">
        <v>0</v>
      </c>
      <c r="K36" s="310">
        <v>0</v>
      </c>
      <c r="L36" s="310">
        <v>-131</v>
      </c>
      <c r="M36" s="311">
        <v>0</v>
      </c>
      <c r="N36" s="325" t="s">
        <v>1376</v>
      </c>
    </row>
    <row r="37" spans="1:14" ht="193">
      <c r="A37" s="265" t="s">
        <v>323</v>
      </c>
      <c r="B37" s="390"/>
      <c r="C37" s="266" t="s">
        <v>324</v>
      </c>
      <c r="D37" s="265"/>
      <c r="E37" s="318">
        <v>-83</v>
      </c>
      <c r="F37" s="309">
        <f>SUM(G37:M37)</f>
        <v>-25</v>
      </c>
      <c r="G37" s="165">
        <v>0</v>
      </c>
      <c r="H37" s="165">
        <v>0</v>
      </c>
      <c r="I37" s="165">
        <v>0</v>
      </c>
      <c r="J37" s="165">
        <v>0</v>
      </c>
      <c r="K37" s="165">
        <v>0</v>
      </c>
      <c r="L37" s="165">
        <v>-25</v>
      </c>
      <c r="M37" s="166">
        <v>0</v>
      </c>
      <c r="N37" s="325" t="s">
        <v>972</v>
      </c>
    </row>
    <row r="38" spans="1:14">
      <c r="A38" s="40" t="s">
        <v>326</v>
      </c>
      <c r="B38" s="265"/>
      <c r="C38" s="266"/>
      <c r="D38" s="267"/>
      <c r="E38" s="42">
        <f t="shared" ref="E38:M38" si="5">SUM(E23:E37)</f>
        <v>505</v>
      </c>
      <c r="F38" s="43">
        <f t="shared" si="5"/>
        <v>438</v>
      </c>
      <c r="G38" s="43">
        <f t="shared" si="5"/>
        <v>0</v>
      </c>
      <c r="H38" s="43">
        <f t="shared" si="5"/>
        <v>0</v>
      </c>
      <c r="I38" s="43">
        <f t="shared" si="5"/>
        <v>0</v>
      </c>
      <c r="J38" s="43">
        <f t="shared" si="5"/>
        <v>0</v>
      </c>
      <c r="K38" s="43">
        <f t="shared" si="5"/>
        <v>594</v>
      </c>
      <c r="L38" s="43">
        <f t="shared" si="5"/>
        <v>-156</v>
      </c>
      <c r="M38" s="43">
        <f t="shared" si="5"/>
        <v>0</v>
      </c>
      <c r="N38" s="355"/>
    </row>
    <row r="39" spans="1:14">
      <c r="A39" s="40" t="s">
        <v>973</v>
      </c>
      <c r="B39" s="51"/>
      <c r="C39" s="149"/>
      <c r="D39" s="267"/>
      <c r="E39" s="241">
        <v>0</v>
      </c>
      <c r="F39" s="240">
        <f>SUM(G39:M39)</f>
        <v>0</v>
      </c>
      <c r="G39" s="240">
        <v>0</v>
      </c>
      <c r="H39" s="240">
        <v>0</v>
      </c>
      <c r="I39" s="240">
        <v>0</v>
      </c>
      <c r="J39" s="240">
        <v>0</v>
      </c>
      <c r="K39" s="240">
        <v>0</v>
      </c>
      <c r="L39" s="684">
        <v>0</v>
      </c>
      <c r="M39" s="240">
        <v>0</v>
      </c>
      <c r="N39" s="325"/>
    </row>
    <row r="40" spans="1:14">
      <c r="A40" s="40" t="s">
        <v>328</v>
      </c>
      <c r="B40" s="46"/>
      <c r="C40" s="47"/>
      <c r="D40" s="48">
        <f>D38+D21+D13</f>
        <v>0.5</v>
      </c>
      <c r="E40" s="42">
        <f t="shared" ref="E40:M40" si="6">E38+E21+E13-E39</f>
        <v>908</v>
      </c>
      <c r="F40" s="17">
        <f t="shared" si="6"/>
        <v>935</v>
      </c>
      <c r="G40" s="17">
        <f t="shared" si="6"/>
        <v>0</v>
      </c>
      <c r="H40" s="17">
        <f t="shared" si="6"/>
        <v>0</v>
      </c>
      <c r="I40" s="17">
        <f t="shared" si="6"/>
        <v>0</v>
      </c>
      <c r="J40" s="17">
        <f t="shared" si="6"/>
        <v>0</v>
      </c>
      <c r="K40" s="17">
        <f t="shared" si="6"/>
        <v>594</v>
      </c>
      <c r="L40" s="17">
        <f t="shared" si="6"/>
        <v>341</v>
      </c>
      <c r="M40" s="17">
        <f t="shared" si="6"/>
        <v>0</v>
      </c>
      <c r="N40" s="353"/>
    </row>
    <row r="41" spans="1:14">
      <c r="A41" s="150" t="s">
        <v>974</v>
      </c>
      <c r="C41" s="29"/>
      <c r="D41" s="221"/>
      <c r="E41" s="55">
        <f>E40-C45-E42</f>
        <v>878</v>
      </c>
      <c r="F41" s="433">
        <f>+F40-M40-B47</f>
        <v>935</v>
      </c>
    </row>
    <row r="42" spans="1:14">
      <c r="A42" s="322" t="s">
        <v>975</v>
      </c>
      <c r="C42" s="29"/>
      <c r="D42" s="221"/>
      <c r="E42" s="55">
        <v>0</v>
      </c>
      <c r="F42" s="55">
        <v>0</v>
      </c>
    </row>
    <row r="43" spans="1:14">
      <c r="A43" s="322"/>
      <c r="C43" s="29"/>
      <c r="D43" s="221"/>
      <c r="E43" s="220"/>
      <c r="F43" s="220"/>
    </row>
    <row r="44" spans="1:14">
      <c r="A44" s="56" t="s">
        <v>392</v>
      </c>
      <c r="B44" s="381" t="s">
        <v>393</v>
      </c>
      <c r="C44" s="381" t="s">
        <v>359</v>
      </c>
    </row>
    <row r="45" spans="1:14" ht="15.05" customHeight="1">
      <c r="A45" s="57" t="s">
        <v>394</v>
      </c>
      <c r="B45" s="58">
        <f>1011-910+30-131</f>
        <v>0</v>
      </c>
      <c r="C45" s="58">
        <v>30</v>
      </c>
      <c r="D45" s="878" t="s">
        <v>1377</v>
      </c>
      <c r="E45" s="640"/>
      <c r="F45" s="640"/>
      <c r="G45" s="640"/>
      <c r="H45" s="640"/>
      <c r="I45" s="553"/>
      <c r="J45" s="553"/>
      <c r="K45" s="553"/>
      <c r="L45" s="553"/>
      <c r="M45" s="553"/>
    </row>
    <row r="46" spans="1:14" ht="14.85" customHeight="1">
      <c r="A46" s="264" t="s">
        <v>396</v>
      </c>
      <c r="B46" s="59">
        <f>M40</f>
        <v>0</v>
      </c>
      <c r="C46" s="59">
        <v>0</v>
      </c>
      <c r="D46" s="861" t="s">
        <v>976</v>
      </c>
      <c r="E46" s="862"/>
      <c r="F46" s="862"/>
      <c r="G46" s="862"/>
      <c r="H46" s="862"/>
      <c r="I46" s="862"/>
      <c r="J46" s="862"/>
      <c r="K46" s="862"/>
      <c r="L46" s="862"/>
      <c r="M46" s="862"/>
    </row>
    <row r="47" spans="1:14">
      <c r="A47" s="283" t="s">
        <v>784</v>
      </c>
      <c r="B47" s="284">
        <f>+B45-B46</f>
        <v>0</v>
      </c>
      <c r="C47" s="284">
        <f>+C45-C46</f>
        <v>30</v>
      </c>
      <c r="D47" s="861"/>
      <c r="E47" s="862"/>
      <c r="F47" s="862"/>
      <c r="G47" s="862"/>
      <c r="H47" s="862"/>
      <c r="I47" s="862"/>
      <c r="J47" s="862"/>
      <c r="K47" s="862"/>
      <c r="L47" s="862"/>
      <c r="M47" s="862"/>
    </row>
    <row r="50" spans="1:14" ht="15.6" thickBot="1">
      <c r="A50" s="31"/>
      <c r="B50" s="31"/>
      <c r="C50" s="32"/>
      <c r="D50" s="31"/>
      <c r="E50" s="31"/>
      <c r="F50" s="31"/>
      <c r="G50" s="31"/>
      <c r="H50" s="31"/>
      <c r="I50" s="31"/>
      <c r="J50" s="31"/>
      <c r="K50" s="31"/>
      <c r="L50" s="31"/>
      <c r="M50" s="31"/>
      <c r="N50" s="562"/>
    </row>
    <row r="51" spans="1:14" ht="15.6">
      <c r="A51" s="764" t="s">
        <v>330</v>
      </c>
      <c r="B51" s="765"/>
      <c r="C51" s="765"/>
      <c r="D51" s="765"/>
      <c r="E51" s="765"/>
      <c r="F51" s="765"/>
      <c r="G51" s="581"/>
      <c r="H51" s="31"/>
      <c r="I51" s="31"/>
      <c r="J51" s="31"/>
      <c r="K51" s="31"/>
      <c r="L51" s="31"/>
      <c r="M51" s="31"/>
      <c r="N51" s="562"/>
    </row>
    <row r="52" spans="1:14" ht="15.6">
      <c r="A52" s="738"/>
      <c r="B52" s="739"/>
      <c r="C52" s="739"/>
      <c r="D52" s="739"/>
      <c r="E52" s="739"/>
      <c r="F52" s="739"/>
      <c r="G52" s="582"/>
      <c r="H52" s="31"/>
      <c r="I52" s="31"/>
      <c r="J52" s="31"/>
      <c r="K52" s="31"/>
      <c r="L52" s="31"/>
      <c r="M52" s="31"/>
      <c r="N52" s="562"/>
    </row>
    <row r="53" spans="1:14">
      <c r="A53" s="740" t="s">
        <v>331</v>
      </c>
      <c r="B53" s="741"/>
      <c r="C53" s="583"/>
      <c r="D53" s="583"/>
      <c r="E53" s="583"/>
      <c r="F53" s="583"/>
      <c r="G53" s="582"/>
      <c r="H53" s="31"/>
      <c r="I53" s="31"/>
      <c r="J53" s="31"/>
      <c r="K53" s="31"/>
      <c r="L53" s="31"/>
      <c r="M53" s="31"/>
      <c r="N53" s="562"/>
    </row>
    <row r="54" spans="1:14">
      <c r="A54" s="584" t="s">
        <v>480</v>
      </c>
      <c r="B54" s="585">
        <f>+E40</f>
        <v>908</v>
      </c>
      <c r="C54" s="586"/>
      <c r="D54" s="587"/>
      <c r="E54" s="587"/>
      <c r="F54" s="587"/>
      <c r="G54" s="582"/>
      <c r="H54" s="31"/>
      <c r="I54" s="31"/>
      <c r="J54" s="31"/>
      <c r="K54" s="31"/>
      <c r="L54" s="31"/>
      <c r="M54" s="31"/>
      <c r="N54" s="562"/>
    </row>
    <row r="55" spans="1:14">
      <c r="A55" s="588" t="s">
        <v>481</v>
      </c>
      <c r="B55" s="589">
        <f>+F40</f>
        <v>935</v>
      </c>
      <c r="C55" s="586"/>
      <c r="D55" s="587"/>
      <c r="E55" s="587"/>
      <c r="F55" s="587"/>
      <c r="G55" s="582"/>
      <c r="H55" s="31"/>
      <c r="I55" s="31"/>
      <c r="J55" s="31"/>
      <c r="K55" s="31"/>
      <c r="L55" s="31"/>
      <c r="M55" s="31"/>
      <c r="N55" s="562"/>
    </row>
    <row r="56" spans="1:14">
      <c r="A56" s="590" t="s">
        <v>334</v>
      </c>
      <c r="B56" s="591">
        <f>+B55-B54</f>
        <v>27</v>
      </c>
      <c r="C56" s="586"/>
      <c r="D56" s="587"/>
      <c r="E56" s="587"/>
      <c r="F56" s="587"/>
      <c r="G56" s="582"/>
      <c r="H56" s="31"/>
      <c r="I56" s="31"/>
      <c r="J56" s="31"/>
      <c r="K56" s="31"/>
      <c r="L56" s="31"/>
      <c r="M56" s="31"/>
      <c r="N56" s="562"/>
    </row>
    <row r="57" spans="1:14">
      <c r="A57" s="590" t="s">
        <v>335</v>
      </c>
      <c r="B57" s="592">
        <f>+B56/B54</f>
        <v>2.9735682819383259E-2</v>
      </c>
      <c r="C57" s="586"/>
      <c r="D57" s="587"/>
      <c r="E57" s="587"/>
      <c r="F57" s="587"/>
      <c r="G57" s="582"/>
      <c r="H57" s="31"/>
      <c r="I57" s="31"/>
      <c r="J57" s="31"/>
      <c r="K57" s="31"/>
      <c r="L57" s="31"/>
      <c r="M57" s="31"/>
      <c r="N57" s="562"/>
    </row>
    <row r="58" spans="1:14">
      <c r="A58" s="593"/>
      <c r="B58" s="587"/>
      <c r="C58" s="686"/>
      <c r="D58" s="587"/>
      <c r="E58" s="587"/>
      <c r="F58" s="587"/>
      <c r="G58" s="582"/>
      <c r="H58" s="31"/>
      <c r="I58" s="31"/>
      <c r="J58" s="31"/>
      <c r="K58" s="31"/>
      <c r="L58" s="31"/>
      <c r="M58" s="31"/>
      <c r="N58" s="562"/>
    </row>
    <row r="59" spans="1:14">
      <c r="A59" s="731" t="s">
        <v>336</v>
      </c>
      <c r="B59" s="732"/>
      <c r="C59" s="732"/>
      <c r="D59" s="732"/>
      <c r="E59" s="732"/>
      <c r="F59" s="732"/>
      <c r="G59" s="582"/>
      <c r="H59" s="31"/>
      <c r="I59" s="31"/>
      <c r="J59" s="31"/>
      <c r="K59" s="31"/>
      <c r="L59" s="31"/>
      <c r="M59" s="31"/>
      <c r="N59" s="562"/>
    </row>
    <row r="60" spans="1:14">
      <c r="A60" s="742"/>
      <c r="B60" s="743"/>
      <c r="C60" s="743"/>
      <c r="D60" s="743"/>
      <c r="E60" s="743"/>
      <c r="F60" s="744"/>
      <c r="G60" s="582"/>
      <c r="H60" s="31"/>
      <c r="I60" s="31"/>
      <c r="J60" s="31"/>
      <c r="K60" s="31"/>
      <c r="L60" s="31"/>
      <c r="M60" s="31"/>
      <c r="N60" s="562"/>
    </row>
    <row r="61" spans="1:14">
      <c r="A61" s="594"/>
      <c r="B61" s="595"/>
      <c r="C61" s="595"/>
      <c r="D61" s="595"/>
      <c r="E61" s="595"/>
      <c r="F61" s="595"/>
      <c r="G61" s="582"/>
      <c r="H61" s="31"/>
      <c r="I61" s="31"/>
      <c r="J61" s="31"/>
      <c r="K61" s="31"/>
      <c r="L61" s="31"/>
      <c r="M61" s="31"/>
      <c r="N61" s="562"/>
    </row>
    <row r="62" spans="1:14">
      <c r="A62" s="596" t="s">
        <v>337</v>
      </c>
      <c r="B62" s="587"/>
      <c r="C62" s="686"/>
      <c r="D62" s="587"/>
      <c r="E62" s="587"/>
      <c r="F62" s="587"/>
      <c r="G62" s="582"/>
      <c r="H62" s="31"/>
      <c r="I62" s="31"/>
      <c r="J62" s="31"/>
      <c r="K62" s="31"/>
      <c r="L62" s="31"/>
      <c r="M62" s="31"/>
      <c r="N62" s="562"/>
    </row>
    <row r="63" spans="1:14">
      <c r="A63" s="735"/>
      <c r="B63" s="736"/>
      <c r="C63" s="736"/>
      <c r="D63" s="736"/>
      <c r="E63" s="736"/>
      <c r="F63" s="737"/>
      <c r="G63" s="582"/>
      <c r="H63" s="31"/>
      <c r="I63" s="31"/>
      <c r="J63" s="31"/>
      <c r="K63" s="31"/>
      <c r="L63" s="31"/>
      <c r="M63" s="31"/>
      <c r="N63" s="562"/>
    </row>
    <row r="64" spans="1:14">
      <c r="A64" s="593"/>
      <c r="B64" s="587"/>
      <c r="C64" s="686"/>
      <c r="D64" s="587"/>
      <c r="E64" s="587"/>
      <c r="F64" s="587"/>
      <c r="G64" s="582"/>
      <c r="H64" s="31"/>
      <c r="I64" s="31"/>
      <c r="J64" s="31"/>
      <c r="K64" s="31"/>
      <c r="L64" s="31"/>
      <c r="M64" s="31"/>
      <c r="N64" s="562"/>
    </row>
    <row r="65" spans="1:14">
      <c r="A65" s="731" t="s">
        <v>365</v>
      </c>
      <c r="B65" s="732"/>
      <c r="C65" s="732"/>
      <c r="D65" s="732"/>
      <c r="E65" s="732"/>
      <c r="F65" s="732"/>
      <c r="G65" s="582"/>
      <c r="H65" s="31"/>
      <c r="I65" s="31"/>
      <c r="J65" s="31"/>
      <c r="K65" s="31"/>
      <c r="L65" s="31"/>
      <c r="M65" s="31"/>
      <c r="N65" s="562"/>
    </row>
    <row r="66" spans="1:14">
      <c r="A66" s="733" t="s">
        <v>849</v>
      </c>
      <c r="B66" s="734"/>
      <c r="C66" s="734"/>
      <c r="D66" s="734"/>
      <c r="E66" s="734"/>
      <c r="F66" s="734"/>
      <c r="G66" s="582"/>
      <c r="H66" s="31"/>
      <c r="I66" s="31"/>
      <c r="J66" s="31"/>
      <c r="K66" s="31"/>
      <c r="L66" s="31"/>
      <c r="M66" s="31"/>
      <c r="N66" s="562"/>
    </row>
    <row r="67" spans="1:14">
      <c r="A67" s="735"/>
      <c r="B67" s="736"/>
      <c r="C67" s="736"/>
      <c r="D67" s="736"/>
      <c r="E67" s="736"/>
      <c r="F67" s="737"/>
      <c r="G67" s="582"/>
      <c r="H67" s="31"/>
      <c r="I67" s="31"/>
      <c r="J67" s="31"/>
      <c r="K67" s="31"/>
      <c r="L67" s="31"/>
      <c r="M67" s="31"/>
      <c r="N67" s="562"/>
    </row>
    <row r="68" spans="1:14">
      <c r="A68" s="596"/>
      <c r="B68" s="587"/>
      <c r="C68" s="686"/>
      <c r="D68" s="587"/>
      <c r="E68" s="587"/>
      <c r="F68" s="587"/>
      <c r="G68" s="582"/>
      <c r="H68" s="31"/>
      <c r="I68" s="31"/>
      <c r="J68" s="31"/>
      <c r="K68" s="31"/>
      <c r="L68" s="31"/>
      <c r="M68" s="31"/>
      <c r="N68" s="562"/>
    </row>
    <row r="69" spans="1:14">
      <c r="A69" s="731" t="s">
        <v>340</v>
      </c>
      <c r="B69" s="732"/>
      <c r="C69" s="732"/>
      <c r="D69" s="732"/>
      <c r="E69" s="732"/>
      <c r="F69" s="587"/>
      <c r="G69" s="582"/>
      <c r="H69" s="31"/>
      <c r="I69" s="31"/>
      <c r="J69" s="31"/>
      <c r="K69" s="31"/>
      <c r="L69" s="31"/>
      <c r="M69" s="31"/>
      <c r="N69" s="562"/>
    </row>
    <row r="70" spans="1:14">
      <c r="A70" s="728"/>
      <c r="B70" s="729"/>
      <c r="C70" s="729"/>
      <c r="D70" s="729"/>
      <c r="E70" s="729"/>
      <c r="F70" s="730"/>
      <c r="G70" s="582"/>
      <c r="H70" s="31"/>
      <c r="I70" s="31"/>
      <c r="J70" s="31"/>
      <c r="K70" s="31"/>
      <c r="L70" s="31"/>
      <c r="M70" s="31"/>
      <c r="N70" s="562"/>
    </row>
    <row r="71" spans="1:14">
      <c r="A71" s="593"/>
      <c r="B71" s="587"/>
      <c r="C71" s="686"/>
      <c r="D71" s="587"/>
      <c r="E71" s="587"/>
      <c r="F71" s="587"/>
      <c r="G71" s="582"/>
      <c r="H71" s="31"/>
      <c r="I71" s="31"/>
      <c r="J71" s="31"/>
      <c r="K71" s="31"/>
      <c r="L71" s="31"/>
      <c r="M71" s="31"/>
      <c r="N71" s="562"/>
    </row>
    <row r="72" spans="1:14">
      <c r="A72" s="596" t="s">
        <v>341</v>
      </c>
      <c r="B72" s="587"/>
      <c r="C72" s="686"/>
      <c r="D72" s="587"/>
      <c r="E72" s="587"/>
      <c r="F72" s="587"/>
      <c r="G72" s="582"/>
      <c r="H72" s="31"/>
      <c r="I72" s="31"/>
      <c r="J72" s="31"/>
      <c r="K72" s="31"/>
      <c r="L72" s="31"/>
      <c r="M72" s="31"/>
      <c r="N72" s="562"/>
    </row>
    <row r="73" spans="1:14">
      <c r="A73" s="597" t="s">
        <v>342</v>
      </c>
      <c r="B73" s="587"/>
      <c r="C73" s="686"/>
      <c r="D73" s="587"/>
      <c r="E73" s="587"/>
      <c r="F73" s="587"/>
      <c r="G73" s="582"/>
      <c r="H73" s="31"/>
      <c r="I73" s="31"/>
      <c r="J73" s="31"/>
      <c r="K73" s="31"/>
      <c r="L73" s="31"/>
      <c r="M73" s="31"/>
      <c r="N73" s="562"/>
    </row>
    <row r="74" spans="1:14" ht="26.95" customHeight="1">
      <c r="A74" s="719" t="s">
        <v>368</v>
      </c>
      <c r="B74" s="720"/>
      <c r="C74" s="720"/>
      <c r="D74" s="720"/>
      <c r="E74" s="720"/>
      <c r="F74" s="720"/>
      <c r="G74" s="582"/>
      <c r="H74" s="31"/>
      <c r="I74" s="31"/>
      <c r="J74" s="31"/>
      <c r="K74" s="31"/>
      <c r="L74" s="31"/>
      <c r="M74" s="31"/>
      <c r="N74" s="562"/>
    </row>
    <row r="75" spans="1:14">
      <c r="A75" s="721"/>
      <c r="B75" s="722"/>
      <c r="C75" s="722"/>
      <c r="D75" s="722"/>
      <c r="E75" s="722"/>
      <c r="F75" s="723"/>
      <c r="G75" s="582"/>
      <c r="H75" s="31"/>
      <c r="I75" s="31"/>
      <c r="J75" s="31"/>
      <c r="K75" s="31"/>
      <c r="L75" s="31"/>
      <c r="M75" s="31"/>
      <c r="N75" s="562"/>
    </row>
    <row r="76" spans="1:14">
      <c r="A76" s="724"/>
      <c r="B76" s="725"/>
      <c r="C76" s="725"/>
      <c r="D76" s="725"/>
      <c r="E76" s="725"/>
      <c r="F76" s="725"/>
      <c r="G76" s="582"/>
      <c r="H76" s="31"/>
      <c r="I76" s="31"/>
      <c r="J76" s="31"/>
      <c r="K76" s="31"/>
      <c r="L76" s="31"/>
      <c r="M76" s="31"/>
      <c r="N76" s="562"/>
    </row>
    <row r="77" spans="1:14">
      <c r="A77" s="597" t="s">
        <v>344</v>
      </c>
      <c r="B77" s="587"/>
      <c r="C77" s="686"/>
      <c r="D77" s="587"/>
      <c r="E77" s="587"/>
      <c r="F77" s="587"/>
      <c r="G77" s="582"/>
      <c r="H77" s="31"/>
      <c r="I77" s="31"/>
      <c r="J77" s="31"/>
      <c r="K77" s="31"/>
      <c r="L77" s="31"/>
      <c r="M77" s="31"/>
      <c r="N77" s="562"/>
    </row>
    <row r="78" spans="1:14" ht="28.2" customHeight="1">
      <c r="A78" s="726" t="s">
        <v>345</v>
      </c>
      <c r="B78" s="727"/>
      <c r="C78" s="727"/>
      <c r="D78" s="727"/>
      <c r="E78" s="727"/>
      <c r="F78" s="727"/>
      <c r="G78" s="582"/>
      <c r="H78" s="31"/>
      <c r="I78" s="31"/>
      <c r="J78" s="31"/>
      <c r="K78" s="31"/>
      <c r="L78" s="31"/>
      <c r="M78" s="31"/>
      <c r="N78" s="562"/>
    </row>
    <row r="79" spans="1:14">
      <c r="A79" s="728"/>
      <c r="B79" s="729"/>
      <c r="C79" s="729"/>
      <c r="D79" s="729"/>
      <c r="E79" s="729"/>
      <c r="F79" s="730"/>
      <c r="G79" s="582"/>
      <c r="H79" s="31"/>
      <c r="I79" s="31"/>
      <c r="J79" s="31"/>
      <c r="K79" s="31"/>
      <c r="L79" s="31"/>
      <c r="M79" s="31"/>
      <c r="N79" s="562"/>
    </row>
    <row r="80" spans="1:14" ht="15.6" thickBot="1">
      <c r="A80" s="598"/>
      <c r="B80" s="599"/>
      <c r="C80" s="600"/>
      <c r="D80" s="599"/>
      <c r="E80" s="599"/>
      <c r="F80" s="599"/>
      <c r="G80" s="601"/>
      <c r="H80" s="31"/>
      <c r="I80" s="31"/>
      <c r="J80" s="31"/>
      <c r="K80" s="31"/>
      <c r="L80" s="31"/>
      <c r="M80" s="31"/>
      <c r="N80" s="562"/>
    </row>
    <row r="81" spans="1:14">
      <c r="A81" s="31"/>
      <c r="B81" s="31"/>
      <c r="C81" s="32"/>
      <c r="D81" s="31"/>
      <c r="E81" s="31"/>
      <c r="F81" s="31"/>
      <c r="G81" s="31"/>
      <c r="H81" s="31"/>
      <c r="I81" s="31"/>
      <c r="J81" s="31"/>
      <c r="K81" s="31"/>
      <c r="L81" s="31"/>
      <c r="M81" s="31"/>
      <c r="N81" s="562"/>
    </row>
  </sheetData>
  <mergeCells count="18">
    <mergeCell ref="A1:N1"/>
    <mergeCell ref="A51:F51"/>
    <mergeCell ref="A52:F52"/>
    <mergeCell ref="A53:B53"/>
    <mergeCell ref="A59:F59"/>
    <mergeCell ref="D46:M47"/>
    <mergeCell ref="A60:F60"/>
    <mergeCell ref="A63:F63"/>
    <mergeCell ref="A65:F65"/>
    <mergeCell ref="A75:F75"/>
    <mergeCell ref="A76:F76"/>
    <mergeCell ref="A78:F78"/>
    <mergeCell ref="A79:F79"/>
    <mergeCell ref="A66:F66"/>
    <mergeCell ref="A67:F67"/>
    <mergeCell ref="A69:E69"/>
    <mergeCell ref="A70:F70"/>
    <mergeCell ref="A74:F74"/>
  </mergeCells>
  <printOptions horizontalCentered="1"/>
  <pageMargins left="0.2" right="0.2" top="0.75" bottom="0.75" header="0.3" footer="0.3"/>
  <pageSetup scale="62" orientation="landscape" r:id="rId1"/>
  <headerFooter>
    <oddHeader xml:space="preserve">&amp;CDRAFT NOT FOR DISTRIBUTION, INTERNAL USE ONLY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tint="-0.249977111117893"/>
    <pageSetUpPr fitToPage="1"/>
  </sheetPr>
  <dimension ref="A1:N82"/>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9" bestFit="1" customWidth="1"/>
    <col min="9" max="10" width="7.140625" customWidth="1"/>
    <col min="11" max="11" width="7.7109375" customWidth="1"/>
    <col min="12" max="12" width="9.7109375" customWidth="1"/>
    <col min="13" max="13" width="9.140625" customWidth="1"/>
    <col min="14" max="14" width="32.140625" customWidth="1"/>
  </cols>
  <sheetData>
    <row r="1" spans="1:14" ht="15.6">
      <c r="A1" s="745" t="s">
        <v>227</v>
      </c>
      <c r="B1" s="745"/>
      <c r="C1" s="745"/>
      <c r="D1" s="745"/>
      <c r="E1" s="745"/>
      <c r="F1" s="745"/>
      <c r="G1" s="745"/>
      <c r="H1" s="745"/>
      <c r="I1" s="745"/>
      <c r="J1" s="745"/>
      <c r="K1" s="745"/>
      <c r="L1" s="745"/>
      <c r="M1" s="745"/>
      <c r="N1" s="745"/>
    </row>
    <row r="2" spans="1:14">
      <c r="A2" s="65" t="s">
        <v>977</v>
      </c>
      <c r="B2" s="381"/>
      <c r="C2" s="687"/>
      <c r="D2" s="381"/>
      <c r="E2" s="381"/>
      <c r="F2" s="381"/>
      <c r="G2" s="381"/>
      <c r="H2" s="381"/>
      <c r="I2" s="381"/>
      <c r="J2" s="381"/>
      <c r="K2" s="381"/>
      <c r="L2" s="381"/>
      <c r="M2" s="381"/>
      <c r="N2" s="381"/>
    </row>
    <row r="3" spans="1:14">
      <c r="A3" s="68" t="s">
        <v>978</v>
      </c>
      <c r="B3" s="381"/>
      <c r="C3" s="687"/>
      <c r="D3" s="381"/>
      <c r="E3" s="29"/>
      <c r="F3" s="554" t="s">
        <v>275</v>
      </c>
      <c r="G3" s="29"/>
      <c r="H3" s="381"/>
      <c r="I3" s="381"/>
      <c r="J3" s="381"/>
      <c r="K3" s="381"/>
      <c r="L3" s="381"/>
      <c r="M3" s="381"/>
      <c r="N3" s="381"/>
    </row>
    <row r="4" spans="1:14">
      <c r="A4" s="68" t="s">
        <v>939</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N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43">
        <f t="shared" si="1"/>
        <v>0</v>
      </c>
    </row>
    <row r="17" spans="1:14">
      <c r="A17" s="69" t="s">
        <v>289</v>
      </c>
      <c r="B17" s="70"/>
      <c r="C17" s="71"/>
      <c r="D17" s="70"/>
      <c r="E17" s="70"/>
      <c r="F17" s="72"/>
      <c r="G17" s="72"/>
      <c r="H17" s="72"/>
      <c r="I17" s="72"/>
      <c r="J17" s="72"/>
      <c r="K17" s="72"/>
      <c r="L17" s="72"/>
      <c r="M17" s="72"/>
      <c r="N17" s="72"/>
    </row>
    <row r="18" spans="1:14" ht="74.25">
      <c r="A18" s="435" t="s">
        <v>355</v>
      </c>
      <c r="B18" s="96" t="s">
        <v>979</v>
      </c>
      <c r="C18" s="98">
        <v>253</v>
      </c>
      <c r="D18" s="99"/>
      <c r="E18" s="436">
        <v>206</v>
      </c>
      <c r="F18" s="437">
        <f t="shared" ref="F18:F23" si="2">SUM(G18:M18)</f>
        <v>200</v>
      </c>
      <c r="G18" s="438">
        <v>0</v>
      </c>
      <c r="H18" s="438">
        <v>200</v>
      </c>
      <c r="I18" s="438"/>
      <c r="J18" s="438"/>
      <c r="K18" s="438"/>
      <c r="L18" s="438"/>
      <c r="M18" s="439"/>
      <c r="N18" s="325" t="s">
        <v>980</v>
      </c>
    </row>
    <row r="19" spans="1:14" ht="43.45" customHeight="1">
      <c r="A19" s="264" t="s">
        <v>355</v>
      </c>
      <c r="B19" s="264"/>
      <c r="C19" s="44">
        <v>253</v>
      </c>
      <c r="D19" s="45"/>
      <c r="E19" s="263">
        <v>0</v>
      </c>
      <c r="F19" s="357">
        <f t="shared" si="2"/>
        <v>0</v>
      </c>
      <c r="G19" s="310">
        <v>0</v>
      </c>
      <c r="H19" s="310"/>
      <c r="I19" s="310"/>
      <c r="J19" s="310"/>
      <c r="K19" s="310"/>
      <c r="L19" s="310"/>
      <c r="M19" s="311"/>
      <c r="N19" s="93"/>
    </row>
    <row r="20" spans="1:14">
      <c r="A20" s="264" t="s">
        <v>355</v>
      </c>
      <c r="B20" s="264"/>
      <c r="C20" s="44">
        <v>253</v>
      </c>
      <c r="D20" s="267"/>
      <c r="E20" s="263"/>
      <c r="F20" s="357">
        <f t="shared" si="2"/>
        <v>0</v>
      </c>
      <c r="G20" s="310"/>
      <c r="H20" s="310"/>
      <c r="I20" s="310"/>
      <c r="J20" s="310"/>
      <c r="K20" s="310"/>
      <c r="L20" s="310"/>
      <c r="M20" s="311"/>
      <c r="N20" s="327"/>
    </row>
    <row r="21" spans="1:14" s="151" customFormat="1">
      <c r="A21" s="264" t="s">
        <v>355</v>
      </c>
      <c r="B21" s="264"/>
      <c r="C21" s="44">
        <v>253</v>
      </c>
      <c r="D21" s="267"/>
      <c r="E21" s="263"/>
      <c r="F21" s="357">
        <f t="shared" si="2"/>
        <v>0</v>
      </c>
      <c r="G21" s="310"/>
      <c r="H21" s="310"/>
      <c r="I21" s="310"/>
      <c r="J21" s="310"/>
      <c r="K21" s="310"/>
      <c r="L21" s="310"/>
      <c r="M21" s="311"/>
      <c r="N21" s="327"/>
    </row>
    <row r="22" spans="1:14" s="7" customFormat="1">
      <c r="A22" s="264" t="s">
        <v>355</v>
      </c>
      <c r="B22" s="264"/>
      <c r="C22" s="44">
        <v>253</v>
      </c>
      <c r="D22" s="267"/>
      <c r="E22" s="263"/>
      <c r="F22" s="357">
        <f t="shared" si="2"/>
        <v>0</v>
      </c>
      <c r="G22" s="310"/>
      <c r="H22" s="310"/>
      <c r="I22" s="310"/>
      <c r="J22" s="310"/>
      <c r="K22" s="310"/>
      <c r="L22" s="310"/>
      <c r="M22" s="311"/>
      <c r="N22" s="325"/>
    </row>
    <row r="23" spans="1:14" s="286" customFormat="1">
      <c r="A23" s="264" t="s">
        <v>355</v>
      </c>
      <c r="B23" s="264"/>
      <c r="C23" s="44">
        <v>253</v>
      </c>
      <c r="D23" s="267"/>
      <c r="E23" s="263">
        <v>0</v>
      </c>
      <c r="F23" s="16">
        <f t="shared" si="2"/>
        <v>0</v>
      </c>
      <c r="G23" s="319"/>
      <c r="H23" s="319"/>
      <c r="I23" s="319"/>
      <c r="J23" s="319"/>
      <c r="K23" s="319"/>
      <c r="L23" s="319"/>
      <c r="M23" s="320"/>
      <c r="N23" s="327"/>
    </row>
    <row r="24" spans="1:14">
      <c r="A24" s="40" t="s">
        <v>294</v>
      </c>
      <c r="B24" s="265"/>
      <c r="C24" s="266"/>
      <c r="D24" s="267">
        <f>SUM(D18:D22)</f>
        <v>0</v>
      </c>
      <c r="E24" s="43">
        <f t="shared" ref="E24:M24" si="3">SUM(E18:E23)</f>
        <v>206</v>
      </c>
      <c r="F24" s="43">
        <f t="shared" si="3"/>
        <v>200</v>
      </c>
      <c r="G24" s="43">
        <f t="shared" si="3"/>
        <v>0</v>
      </c>
      <c r="H24" s="43">
        <f t="shared" si="3"/>
        <v>200</v>
      </c>
      <c r="I24" s="43">
        <f t="shared" si="3"/>
        <v>0</v>
      </c>
      <c r="J24" s="43">
        <f t="shared" si="3"/>
        <v>0</v>
      </c>
      <c r="K24" s="43">
        <f t="shared" si="3"/>
        <v>0</v>
      </c>
      <c r="L24" s="43">
        <f t="shared" si="3"/>
        <v>0</v>
      </c>
      <c r="M24" s="43">
        <f t="shared" si="3"/>
        <v>0</v>
      </c>
      <c r="N24" s="355"/>
    </row>
    <row r="25" spans="1:14" s="7" customFormat="1">
      <c r="A25" s="127" t="s">
        <v>295</v>
      </c>
      <c r="B25" s="128"/>
      <c r="C25" s="128"/>
      <c r="D25" s="128"/>
      <c r="E25" s="89"/>
      <c r="F25" s="89"/>
      <c r="G25" s="89"/>
      <c r="H25" s="89"/>
      <c r="I25" s="89"/>
      <c r="J25" s="89"/>
      <c r="K25" s="89"/>
      <c r="L25" s="89"/>
      <c r="M25" s="89"/>
      <c r="N25" s="130"/>
    </row>
    <row r="26" spans="1:14" ht="15.05" customHeight="1">
      <c r="A26" s="264" t="s">
        <v>296</v>
      </c>
      <c r="B26" s="36"/>
      <c r="C26" s="37" t="s">
        <v>297</v>
      </c>
      <c r="D26" s="38">
        <v>0</v>
      </c>
      <c r="E26" s="263">
        <v>0</v>
      </c>
      <c r="F26" s="309">
        <v>0</v>
      </c>
      <c r="G26" s="310">
        <v>0</v>
      </c>
      <c r="H26" s="310">
        <v>0</v>
      </c>
      <c r="I26" s="310">
        <v>0</v>
      </c>
      <c r="J26" s="310">
        <v>0</v>
      </c>
      <c r="K26" s="310">
        <v>0</v>
      </c>
      <c r="L26" s="310">
        <v>0</v>
      </c>
      <c r="M26" s="311">
        <v>0</v>
      </c>
      <c r="N26" s="325"/>
    </row>
    <row r="27" spans="1:14">
      <c r="A27" s="264" t="s">
        <v>298</v>
      </c>
      <c r="B27" s="36"/>
      <c r="C27" s="44" t="s">
        <v>299</v>
      </c>
      <c r="D27" s="45"/>
      <c r="E27" s="263">
        <v>0</v>
      </c>
      <c r="F27" s="309">
        <v>0</v>
      </c>
      <c r="G27" s="310">
        <v>0</v>
      </c>
      <c r="H27" s="310">
        <v>0</v>
      </c>
      <c r="I27" s="310">
        <v>0</v>
      </c>
      <c r="J27" s="310">
        <v>0</v>
      </c>
      <c r="K27" s="310">
        <v>0</v>
      </c>
      <c r="L27" s="310">
        <v>0</v>
      </c>
      <c r="M27" s="311">
        <v>0</v>
      </c>
      <c r="N27" s="355"/>
    </row>
    <row r="28" spans="1:14">
      <c r="A28" s="264" t="s">
        <v>300</v>
      </c>
      <c r="B28" s="36"/>
      <c r="C28" s="44" t="s">
        <v>301</v>
      </c>
      <c r="D28" s="45"/>
      <c r="E28" s="263">
        <v>0</v>
      </c>
      <c r="F28" s="309">
        <v>0</v>
      </c>
      <c r="G28" s="310">
        <v>0</v>
      </c>
      <c r="H28" s="310">
        <v>0</v>
      </c>
      <c r="I28" s="310">
        <v>0</v>
      </c>
      <c r="J28" s="310">
        <v>0</v>
      </c>
      <c r="K28" s="310">
        <v>0</v>
      </c>
      <c r="L28" s="310">
        <v>0</v>
      </c>
      <c r="M28" s="311">
        <v>0</v>
      </c>
      <c r="N28" s="355"/>
    </row>
    <row r="29" spans="1:14">
      <c r="A29" s="264" t="s">
        <v>302</v>
      </c>
      <c r="B29" s="36"/>
      <c r="C29" s="44" t="s">
        <v>303</v>
      </c>
      <c r="D29" s="45"/>
      <c r="E29" s="263">
        <v>0</v>
      </c>
      <c r="F29" s="309">
        <v>0</v>
      </c>
      <c r="G29" s="310">
        <v>0</v>
      </c>
      <c r="H29" s="310">
        <v>0</v>
      </c>
      <c r="I29" s="310">
        <v>0</v>
      </c>
      <c r="J29" s="310">
        <v>0</v>
      </c>
      <c r="K29" s="310">
        <v>0</v>
      </c>
      <c r="L29" s="310">
        <v>0</v>
      </c>
      <c r="M29" s="311">
        <v>0</v>
      </c>
      <c r="N29" s="355"/>
    </row>
    <row r="30" spans="1:14">
      <c r="A30" s="264" t="s">
        <v>304</v>
      </c>
      <c r="B30" s="36"/>
      <c r="C30" s="44">
        <v>251</v>
      </c>
      <c r="D30" s="45"/>
      <c r="E30" s="263">
        <v>0</v>
      </c>
      <c r="F30" s="309">
        <v>0</v>
      </c>
      <c r="G30" s="310">
        <v>0</v>
      </c>
      <c r="H30" s="310">
        <v>0</v>
      </c>
      <c r="I30" s="310">
        <v>0</v>
      </c>
      <c r="J30" s="310">
        <v>0</v>
      </c>
      <c r="K30" s="310">
        <v>0</v>
      </c>
      <c r="L30" s="310">
        <v>0</v>
      </c>
      <c r="M30" s="311">
        <v>0</v>
      </c>
      <c r="N30" s="355"/>
    </row>
    <row r="31" spans="1:14">
      <c r="A31" s="264" t="s">
        <v>313</v>
      </c>
      <c r="B31" s="36"/>
      <c r="C31" s="44">
        <v>252</v>
      </c>
      <c r="D31" s="45"/>
      <c r="E31" s="263">
        <v>0</v>
      </c>
      <c r="F31" s="309">
        <v>0</v>
      </c>
      <c r="G31" s="310">
        <v>0</v>
      </c>
      <c r="H31" s="310">
        <v>0</v>
      </c>
      <c r="I31" s="310">
        <v>0</v>
      </c>
      <c r="J31" s="310">
        <v>0</v>
      </c>
      <c r="K31" s="310">
        <v>0</v>
      </c>
      <c r="L31" s="310">
        <v>0</v>
      </c>
      <c r="M31" s="311">
        <v>0</v>
      </c>
      <c r="N31" s="355"/>
    </row>
    <row r="32" spans="1:14">
      <c r="A32" s="264" t="s">
        <v>314</v>
      </c>
      <c r="B32" s="36"/>
      <c r="C32" s="44">
        <v>252</v>
      </c>
      <c r="D32" s="45"/>
      <c r="E32" s="263">
        <v>0</v>
      </c>
      <c r="F32" s="309">
        <v>0</v>
      </c>
      <c r="G32" s="310">
        <v>0</v>
      </c>
      <c r="H32" s="310">
        <v>0</v>
      </c>
      <c r="I32" s="310">
        <v>0</v>
      </c>
      <c r="J32" s="310">
        <v>0</v>
      </c>
      <c r="K32" s="310">
        <v>0</v>
      </c>
      <c r="L32" s="310">
        <v>0</v>
      </c>
      <c r="M32" s="311">
        <v>0</v>
      </c>
      <c r="N32" s="355"/>
    </row>
    <row r="33" spans="1:14">
      <c r="A33" s="264" t="s">
        <v>315</v>
      </c>
      <c r="B33" s="36"/>
      <c r="C33" s="44">
        <v>253</v>
      </c>
      <c r="D33" s="264"/>
      <c r="E33" s="263">
        <v>0</v>
      </c>
      <c r="F33" s="309">
        <v>0</v>
      </c>
      <c r="G33" s="310">
        <v>0</v>
      </c>
      <c r="H33" s="310">
        <v>0</v>
      </c>
      <c r="I33" s="310">
        <v>0</v>
      </c>
      <c r="J33" s="310">
        <v>0</v>
      </c>
      <c r="K33" s="310">
        <v>0</v>
      </c>
      <c r="L33" s="310">
        <v>0</v>
      </c>
      <c r="M33" s="311">
        <v>0</v>
      </c>
      <c r="N33" s="355"/>
    </row>
    <row r="34" spans="1:14">
      <c r="A34" s="264" t="s">
        <v>316</v>
      </c>
      <c r="B34" s="36"/>
      <c r="C34" s="44">
        <v>255</v>
      </c>
      <c r="D34" s="264"/>
      <c r="E34" s="263">
        <v>0</v>
      </c>
      <c r="F34" s="309">
        <v>0</v>
      </c>
      <c r="G34" s="310">
        <v>0</v>
      </c>
      <c r="H34" s="310">
        <v>0</v>
      </c>
      <c r="I34" s="310">
        <v>0</v>
      </c>
      <c r="J34" s="310">
        <v>0</v>
      </c>
      <c r="K34" s="310">
        <v>0</v>
      </c>
      <c r="L34" s="310">
        <v>0</v>
      </c>
      <c r="M34" s="311">
        <v>0</v>
      </c>
      <c r="N34" s="355"/>
    </row>
    <row r="35" spans="1:14">
      <c r="A35" s="264" t="s">
        <v>317</v>
      </c>
      <c r="B35" s="36"/>
      <c r="C35" s="44">
        <v>256</v>
      </c>
      <c r="D35" s="264"/>
      <c r="E35" s="263">
        <v>0</v>
      </c>
      <c r="F35" s="309">
        <v>0</v>
      </c>
      <c r="G35" s="310">
        <v>0</v>
      </c>
      <c r="H35" s="310">
        <v>0</v>
      </c>
      <c r="I35" s="310">
        <v>0</v>
      </c>
      <c r="J35" s="310">
        <v>0</v>
      </c>
      <c r="K35" s="310">
        <v>0</v>
      </c>
      <c r="L35" s="310">
        <v>0</v>
      </c>
      <c r="M35" s="311">
        <v>0</v>
      </c>
      <c r="N35" s="355"/>
    </row>
    <row r="36" spans="1:14">
      <c r="A36" s="264" t="s">
        <v>318</v>
      </c>
      <c r="B36" s="36"/>
      <c r="C36" s="44">
        <v>257</v>
      </c>
      <c r="D36" s="264"/>
      <c r="E36" s="263">
        <v>0</v>
      </c>
      <c r="F36" s="309">
        <v>0</v>
      </c>
      <c r="G36" s="310">
        <v>0</v>
      </c>
      <c r="H36" s="310">
        <v>0</v>
      </c>
      <c r="I36" s="310">
        <v>0</v>
      </c>
      <c r="J36" s="310">
        <v>0</v>
      </c>
      <c r="K36" s="310">
        <v>0</v>
      </c>
      <c r="L36" s="310">
        <v>0</v>
      </c>
      <c r="M36" s="311">
        <v>0</v>
      </c>
      <c r="N36" s="355"/>
    </row>
    <row r="37" spans="1:14">
      <c r="A37" s="264" t="s">
        <v>319</v>
      </c>
      <c r="B37" s="36"/>
      <c r="C37" s="44" t="s">
        <v>320</v>
      </c>
      <c r="D37" s="264"/>
      <c r="E37" s="263">
        <v>0</v>
      </c>
      <c r="F37" s="309">
        <v>0</v>
      </c>
      <c r="G37" s="310">
        <v>0</v>
      </c>
      <c r="H37" s="310">
        <v>0</v>
      </c>
      <c r="I37" s="310">
        <v>0</v>
      </c>
      <c r="J37" s="310">
        <v>0</v>
      </c>
      <c r="K37" s="310">
        <v>0</v>
      </c>
      <c r="L37" s="310">
        <v>0</v>
      </c>
      <c r="M37" s="311">
        <v>0</v>
      </c>
      <c r="N37" s="355"/>
    </row>
    <row r="38" spans="1:14" s="381" customFormat="1">
      <c r="A38" s="265" t="s">
        <v>321</v>
      </c>
      <c r="B38" s="36"/>
      <c r="C38" s="266" t="s">
        <v>322</v>
      </c>
      <c r="D38" s="265"/>
      <c r="E38" s="263">
        <v>0</v>
      </c>
      <c r="F38" s="309">
        <v>0</v>
      </c>
      <c r="G38" s="310">
        <v>0</v>
      </c>
      <c r="H38" s="310">
        <v>0</v>
      </c>
      <c r="I38" s="310">
        <v>0</v>
      </c>
      <c r="J38" s="310">
        <v>0</v>
      </c>
      <c r="K38" s="310">
        <v>0</v>
      </c>
      <c r="L38" s="310">
        <v>0</v>
      </c>
      <c r="M38" s="311">
        <v>0</v>
      </c>
      <c r="N38" s="355"/>
    </row>
    <row r="39" spans="1:14">
      <c r="A39" s="265" t="s">
        <v>323</v>
      </c>
      <c r="B39" s="390"/>
      <c r="C39" s="266" t="s">
        <v>324</v>
      </c>
      <c r="D39" s="265"/>
      <c r="E39" s="318">
        <v>0</v>
      </c>
      <c r="F39" s="309">
        <f>SUM(G39:M39)</f>
        <v>0</v>
      </c>
      <c r="G39" s="165">
        <v>0</v>
      </c>
      <c r="H39" s="165">
        <v>0</v>
      </c>
      <c r="I39" s="165">
        <v>0</v>
      </c>
      <c r="J39" s="165">
        <v>0</v>
      </c>
      <c r="K39" s="165">
        <v>0</v>
      </c>
      <c r="L39" s="165">
        <v>0</v>
      </c>
      <c r="M39" s="166">
        <v>0</v>
      </c>
      <c r="N39" s="325"/>
    </row>
    <row r="40" spans="1:14">
      <c r="A40" s="40" t="s">
        <v>326</v>
      </c>
      <c r="B40" s="265"/>
      <c r="C40" s="266"/>
      <c r="D40" s="267"/>
      <c r="E40" s="42">
        <f t="shared" ref="E40:M40" si="4">SUM(E26:E39)</f>
        <v>0</v>
      </c>
      <c r="F40" s="43">
        <f t="shared" si="4"/>
        <v>0</v>
      </c>
      <c r="G40" s="43">
        <f t="shared" si="4"/>
        <v>0</v>
      </c>
      <c r="H40" s="43">
        <f t="shared" si="4"/>
        <v>0</v>
      </c>
      <c r="I40" s="43">
        <f t="shared" si="4"/>
        <v>0</v>
      </c>
      <c r="J40" s="43">
        <f t="shared" si="4"/>
        <v>0</v>
      </c>
      <c r="K40" s="43">
        <f t="shared" si="4"/>
        <v>0</v>
      </c>
      <c r="L40" s="43">
        <f t="shared" si="4"/>
        <v>0</v>
      </c>
      <c r="M40" s="43">
        <f t="shared" si="4"/>
        <v>0</v>
      </c>
      <c r="N40" s="355"/>
    </row>
    <row r="41" spans="1:14" ht="29.7">
      <c r="A41" s="40" t="s">
        <v>327</v>
      </c>
      <c r="B41" s="51"/>
      <c r="C41" s="149"/>
      <c r="D41" s="267"/>
      <c r="E41" s="241"/>
      <c r="F41" s="240">
        <f>SUM(G41:L41)</f>
        <v>0</v>
      </c>
      <c r="G41" s="240"/>
      <c r="H41" s="240"/>
      <c r="I41" s="240"/>
      <c r="J41" s="240"/>
      <c r="K41" s="240"/>
      <c r="L41" s="240"/>
      <c r="M41" s="240"/>
      <c r="N41" s="325" t="s">
        <v>568</v>
      </c>
    </row>
    <row r="42" spans="1:14">
      <c r="A42" s="40" t="s">
        <v>328</v>
      </c>
      <c r="B42" s="46"/>
      <c r="C42" s="47"/>
      <c r="D42" s="48">
        <f>D40+D24+D16</f>
        <v>0</v>
      </c>
      <c r="E42" s="42">
        <f>E40+E24+E16-E41</f>
        <v>206</v>
      </c>
      <c r="F42" s="17">
        <f t="shared" ref="F42:M42" si="5">F40+F24+F16-F41</f>
        <v>200</v>
      </c>
      <c r="G42" s="17">
        <f t="shared" si="5"/>
        <v>0</v>
      </c>
      <c r="H42" s="17">
        <f t="shared" si="5"/>
        <v>200</v>
      </c>
      <c r="I42" s="17">
        <f t="shared" si="5"/>
        <v>0</v>
      </c>
      <c r="J42" s="17">
        <f t="shared" si="5"/>
        <v>0</v>
      </c>
      <c r="K42" s="17">
        <f t="shared" si="5"/>
        <v>0</v>
      </c>
      <c r="L42" s="17">
        <f t="shared" si="5"/>
        <v>0</v>
      </c>
      <c r="M42" s="17">
        <f t="shared" si="5"/>
        <v>0</v>
      </c>
      <c r="N42" s="353"/>
    </row>
    <row r="43" spans="1:14">
      <c r="A43" s="150" t="s">
        <v>391</v>
      </c>
      <c r="B43" s="381" t="s">
        <v>759</v>
      </c>
      <c r="C43" s="53"/>
      <c r="D43" s="54"/>
      <c r="E43" s="55">
        <f>+E42-C46</f>
        <v>131</v>
      </c>
      <c r="F43" s="55">
        <f>F42-B46</f>
        <v>100</v>
      </c>
      <c r="G43" s="381"/>
      <c r="H43" s="381"/>
      <c r="I43" s="381"/>
      <c r="J43" s="381"/>
      <c r="K43" s="381"/>
      <c r="L43" s="381"/>
      <c r="M43" s="381"/>
      <c r="N43" s="381"/>
    </row>
    <row r="44" spans="1:14" s="381" customFormat="1">
      <c r="A44" s="322"/>
      <c r="C44" s="29"/>
      <c r="D44" s="221"/>
      <c r="E44" s="220"/>
      <c r="F44" s="220"/>
    </row>
    <row r="45" spans="1:14">
      <c r="A45" s="56" t="s">
        <v>392</v>
      </c>
      <c r="B45" s="381">
        <v>2022</v>
      </c>
      <c r="C45" s="381">
        <v>2021</v>
      </c>
      <c r="D45" s="381"/>
      <c r="E45" s="381"/>
      <c r="F45" s="381"/>
      <c r="G45" s="381"/>
      <c r="H45" s="381"/>
      <c r="I45" s="381"/>
      <c r="J45" s="381"/>
      <c r="K45" s="381"/>
      <c r="L45" s="381"/>
      <c r="M45" s="381"/>
      <c r="N45" s="381"/>
    </row>
    <row r="46" spans="1:14">
      <c r="A46" s="57" t="s">
        <v>394</v>
      </c>
      <c r="B46" s="58">
        <v>100</v>
      </c>
      <c r="C46" s="58">
        <v>75</v>
      </c>
      <c r="D46" s="381"/>
      <c r="E46" s="381"/>
      <c r="F46" s="381"/>
      <c r="G46" s="381"/>
      <c r="H46" s="381"/>
      <c r="I46" s="381"/>
      <c r="J46" s="381"/>
      <c r="K46" s="381"/>
      <c r="L46" s="381"/>
      <c r="M46" s="381"/>
      <c r="N46" s="381"/>
    </row>
    <row r="47" spans="1:14">
      <c r="A47" s="264" t="s">
        <v>396</v>
      </c>
      <c r="B47" s="59">
        <f>M42</f>
        <v>0</v>
      </c>
      <c r="C47" s="59">
        <v>0</v>
      </c>
      <c r="D47" s="381"/>
      <c r="E47" s="381"/>
      <c r="F47" s="381"/>
      <c r="G47" s="381"/>
      <c r="H47" s="381"/>
      <c r="I47" s="381"/>
      <c r="J47" s="381"/>
      <c r="K47" s="381"/>
      <c r="L47" s="381"/>
      <c r="M47" s="381"/>
      <c r="N47" s="381"/>
    </row>
    <row r="48" spans="1:14">
      <c r="A48" s="535" t="s">
        <v>981</v>
      </c>
      <c r="B48" s="61">
        <f>B46-B47</f>
        <v>100</v>
      </c>
      <c r="C48" s="417">
        <f>+C46-C47</f>
        <v>75</v>
      </c>
      <c r="D48" s="381"/>
      <c r="E48" s="381"/>
      <c r="F48" s="381"/>
      <c r="G48" s="381"/>
      <c r="H48" s="381"/>
      <c r="I48" s="381"/>
      <c r="J48" s="381"/>
      <c r="K48" s="381"/>
      <c r="L48" s="381"/>
      <c r="M48" s="381"/>
      <c r="N48" s="381"/>
    </row>
    <row r="51" spans="1:14" s="381" customFormat="1" ht="15.6" thickBot="1">
      <c r="A51" s="31"/>
      <c r="B51" s="31"/>
      <c r="C51" s="32"/>
      <c r="D51" s="31"/>
      <c r="E51" s="31"/>
      <c r="F51" s="31"/>
      <c r="G51" s="31"/>
      <c r="H51" s="31"/>
      <c r="I51" s="31"/>
      <c r="J51" s="31"/>
      <c r="K51" s="31"/>
      <c r="L51" s="31"/>
      <c r="M51" s="31"/>
      <c r="N51" s="562"/>
    </row>
    <row r="52" spans="1:14" s="381" customFormat="1" ht="15.6">
      <c r="A52" s="764" t="s">
        <v>330</v>
      </c>
      <c r="B52" s="765"/>
      <c r="C52" s="765"/>
      <c r="D52" s="765"/>
      <c r="E52" s="765"/>
      <c r="F52" s="765"/>
      <c r="G52" s="581"/>
      <c r="H52" s="31"/>
      <c r="I52" s="31"/>
      <c r="J52" s="31"/>
      <c r="K52" s="31"/>
      <c r="L52" s="31"/>
      <c r="M52" s="31"/>
      <c r="N52" s="562"/>
    </row>
    <row r="53" spans="1:14" s="381" customFormat="1" ht="15.6">
      <c r="A53" s="738"/>
      <c r="B53" s="739"/>
      <c r="C53" s="739"/>
      <c r="D53" s="739"/>
      <c r="E53" s="739"/>
      <c r="F53" s="739"/>
      <c r="G53" s="582"/>
      <c r="H53" s="31"/>
      <c r="I53" s="31"/>
      <c r="J53" s="31"/>
      <c r="K53" s="31"/>
      <c r="L53" s="31"/>
      <c r="M53" s="31"/>
      <c r="N53" s="562"/>
    </row>
    <row r="54" spans="1:14" s="381" customFormat="1">
      <c r="A54" s="740" t="s">
        <v>331</v>
      </c>
      <c r="B54" s="741"/>
      <c r="C54" s="583"/>
      <c r="D54" s="583"/>
      <c r="E54" s="583"/>
      <c r="F54" s="583"/>
      <c r="G54" s="582"/>
      <c r="H54" s="31"/>
      <c r="I54" s="31"/>
      <c r="J54" s="31"/>
      <c r="K54" s="31"/>
      <c r="L54" s="31"/>
      <c r="M54" s="31"/>
      <c r="N54" s="562"/>
    </row>
    <row r="55" spans="1:14" s="381" customFormat="1">
      <c r="A55" s="584" t="s">
        <v>480</v>
      </c>
      <c r="B55" s="585">
        <f>+E42</f>
        <v>206</v>
      </c>
      <c r="C55" s="586"/>
      <c r="D55" s="587"/>
      <c r="E55" s="587"/>
      <c r="F55" s="587"/>
      <c r="G55" s="582"/>
      <c r="H55" s="31"/>
      <c r="I55" s="31"/>
      <c r="J55" s="31"/>
      <c r="K55" s="31"/>
      <c r="L55" s="31"/>
      <c r="M55" s="31"/>
      <c r="N55" s="562"/>
    </row>
    <row r="56" spans="1:14" s="381" customFormat="1">
      <c r="A56" s="588" t="s">
        <v>481</v>
      </c>
      <c r="B56" s="589">
        <f>+F42</f>
        <v>200</v>
      </c>
      <c r="C56" s="586"/>
      <c r="D56" s="587"/>
      <c r="E56" s="587"/>
      <c r="F56" s="587"/>
      <c r="G56" s="582"/>
      <c r="H56" s="31"/>
      <c r="I56" s="31"/>
      <c r="J56" s="31"/>
      <c r="K56" s="31"/>
      <c r="L56" s="31"/>
      <c r="M56" s="31"/>
      <c r="N56" s="562"/>
    </row>
    <row r="57" spans="1:14" s="381" customFormat="1">
      <c r="A57" s="590" t="s">
        <v>334</v>
      </c>
      <c r="B57" s="591">
        <f>+B56-B55</f>
        <v>-6</v>
      </c>
      <c r="C57" s="586"/>
      <c r="D57" s="587"/>
      <c r="E57" s="587"/>
      <c r="F57" s="587"/>
      <c r="G57" s="582"/>
      <c r="H57" s="31"/>
      <c r="I57" s="31"/>
      <c r="J57" s="31"/>
      <c r="K57" s="31"/>
      <c r="L57" s="31"/>
      <c r="M57" s="31"/>
      <c r="N57" s="562"/>
    </row>
    <row r="58" spans="1:14" s="381" customFormat="1">
      <c r="A58" s="590" t="s">
        <v>335</v>
      </c>
      <c r="B58" s="592">
        <f>+B57/B55</f>
        <v>-2.9126213592233011E-2</v>
      </c>
      <c r="C58" s="586"/>
      <c r="D58" s="587"/>
      <c r="E58" s="587"/>
      <c r="F58" s="587"/>
      <c r="G58" s="582"/>
      <c r="H58" s="31"/>
      <c r="I58" s="31"/>
      <c r="J58" s="31"/>
      <c r="K58" s="31"/>
      <c r="L58" s="31"/>
      <c r="M58" s="31"/>
      <c r="N58" s="562"/>
    </row>
    <row r="59" spans="1:14" s="381" customFormat="1">
      <c r="A59" s="593"/>
      <c r="B59" s="587"/>
      <c r="C59" s="686"/>
      <c r="D59" s="587"/>
      <c r="E59" s="587"/>
      <c r="F59" s="587"/>
      <c r="G59" s="582"/>
      <c r="H59" s="31"/>
      <c r="I59" s="31"/>
      <c r="J59" s="31"/>
      <c r="K59" s="31"/>
      <c r="L59" s="31"/>
      <c r="M59" s="31"/>
      <c r="N59" s="562"/>
    </row>
    <row r="60" spans="1:14" s="381" customFormat="1">
      <c r="A60" s="731" t="s">
        <v>336</v>
      </c>
      <c r="B60" s="732"/>
      <c r="C60" s="732"/>
      <c r="D60" s="732"/>
      <c r="E60" s="732"/>
      <c r="F60" s="732"/>
      <c r="G60" s="582"/>
      <c r="H60" s="31"/>
      <c r="I60" s="31"/>
      <c r="J60" s="31"/>
      <c r="K60" s="31"/>
      <c r="L60" s="31"/>
      <c r="M60" s="31"/>
      <c r="N60" s="562"/>
    </row>
    <row r="61" spans="1:14" s="381" customFormat="1">
      <c r="A61" s="742" t="s">
        <v>982</v>
      </c>
      <c r="B61" s="743"/>
      <c r="C61" s="743"/>
      <c r="D61" s="743"/>
      <c r="E61" s="743"/>
      <c r="F61" s="744"/>
      <c r="G61" s="582"/>
      <c r="H61" s="31"/>
      <c r="I61" s="31"/>
      <c r="J61" s="31"/>
      <c r="K61" s="31"/>
      <c r="L61" s="31"/>
      <c r="M61" s="31"/>
      <c r="N61" s="562"/>
    </row>
    <row r="62" spans="1:14" s="381" customFormat="1">
      <c r="A62" s="594"/>
      <c r="B62" s="595"/>
      <c r="C62" s="595"/>
      <c r="D62" s="595"/>
      <c r="E62" s="595"/>
      <c r="F62" s="595"/>
      <c r="G62" s="582"/>
      <c r="H62" s="31"/>
      <c r="I62" s="31"/>
      <c r="J62" s="31"/>
      <c r="K62" s="31"/>
      <c r="L62" s="31"/>
      <c r="M62" s="31"/>
      <c r="N62" s="562"/>
    </row>
    <row r="63" spans="1:14" s="381" customFormat="1">
      <c r="A63" s="596" t="s">
        <v>337</v>
      </c>
      <c r="B63" s="587"/>
      <c r="C63" s="686"/>
      <c r="D63" s="587"/>
      <c r="E63" s="587"/>
      <c r="F63" s="587"/>
      <c r="G63" s="582"/>
      <c r="H63" s="31"/>
      <c r="I63" s="31"/>
      <c r="J63" s="31"/>
      <c r="K63" s="31"/>
      <c r="L63" s="31"/>
      <c r="M63" s="31"/>
      <c r="N63" s="562"/>
    </row>
    <row r="64" spans="1:14" s="381" customFormat="1">
      <c r="A64" s="735" t="s">
        <v>983</v>
      </c>
      <c r="B64" s="736"/>
      <c r="C64" s="736"/>
      <c r="D64" s="736"/>
      <c r="E64" s="736"/>
      <c r="F64" s="737"/>
      <c r="G64" s="582"/>
      <c r="H64" s="31"/>
      <c r="I64" s="31"/>
      <c r="J64" s="31"/>
      <c r="K64" s="31"/>
      <c r="L64" s="31"/>
      <c r="M64" s="31"/>
      <c r="N64" s="562"/>
    </row>
    <row r="65" spans="1:14" s="381" customFormat="1">
      <c r="A65" s="593"/>
      <c r="B65" s="587"/>
      <c r="C65" s="686"/>
      <c r="D65" s="587"/>
      <c r="E65" s="587"/>
      <c r="F65" s="587"/>
      <c r="G65" s="582"/>
      <c r="H65" s="31"/>
      <c r="I65" s="31"/>
      <c r="J65" s="31"/>
      <c r="K65" s="31"/>
      <c r="L65" s="31"/>
      <c r="M65" s="31"/>
      <c r="N65" s="562"/>
    </row>
    <row r="66" spans="1:14" s="381" customFormat="1">
      <c r="A66" s="731" t="s">
        <v>365</v>
      </c>
      <c r="B66" s="732"/>
      <c r="C66" s="732"/>
      <c r="D66" s="732"/>
      <c r="E66" s="732"/>
      <c r="F66" s="732"/>
      <c r="G66" s="582"/>
      <c r="H66" s="31"/>
      <c r="I66" s="31"/>
      <c r="J66" s="31"/>
      <c r="K66" s="31"/>
      <c r="L66" s="31"/>
      <c r="M66" s="31"/>
      <c r="N66" s="562"/>
    </row>
    <row r="67" spans="1:14" s="381" customFormat="1">
      <c r="A67" s="733" t="s">
        <v>849</v>
      </c>
      <c r="B67" s="734"/>
      <c r="C67" s="734"/>
      <c r="D67" s="734"/>
      <c r="E67" s="734"/>
      <c r="F67" s="734"/>
      <c r="G67" s="582"/>
      <c r="H67" s="31"/>
      <c r="I67" s="31"/>
      <c r="J67" s="31"/>
      <c r="K67" s="31"/>
      <c r="L67" s="31"/>
      <c r="M67" s="31"/>
      <c r="N67" s="562"/>
    </row>
    <row r="68" spans="1:14" s="381" customFormat="1">
      <c r="A68" s="735" t="s">
        <v>984</v>
      </c>
      <c r="B68" s="736"/>
      <c r="C68" s="736"/>
      <c r="D68" s="736"/>
      <c r="E68" s="736"/>
      <c r="F68" s="737"/>
      <c r="G68" s="582"/>
      <c r="H68" s="31"/>
      <c r="I68" s="31"/>
      <c r="J68" s="31"/>
      <c r="K68" s="31"/>
      <c r="L68" s="31"/>
      <c r="M68" s="31"/>
      <c r="N68" s="562"/>
    </row>
    <row r="69" spans="1:14" s="381" customFormat="1">
      <c r="A69" s="596"/>
      <c r="B69" s="587"/>
      <c r="C69" s="686"/>
      <c r="D69" s="587"/>
      <c r="E69" s="587"/>
      <c r="F69" s="587"/>
      <c r="G69" s="582"/>
      <c r="H69" s="31"/>
      <c r="I69" s="31"/>
      <c r="J69" s="31"/>
      <c r="K69" s="31"/>
      <c r="L69" s="31"/>
      <c r="M69" s="31"/>
      <c r="N69" s="562"/>
    </row>
    <row r="70" spans="1:14" s="381" customFormat="1">
      <c r="A70" s="731" t="s">
        <v>340</v>
      </c>
      <c r="B70" s="732"/>
      <c r="C70" s="732"/>
      <c r="D70" s="732"/>
      <c r="E70" s="732"/>
      <c r="F70" s="587"/>
      <c r="G70" s="582"/>
      <c r="H70" s="31"/>
      <c r="I70" s="31"/>
      <c r="J70" s="31"/>
      <c r="K70" s="31"/>
      <c r="L70" s="31"/>
      <c r="M70" s="31"/>
      <c r="N70" s="562"/>
    </row>
    <row r="71" spans="1:14" s="381" customFormat="1">
      <c r="A71" s="728" t="s">
        <v>985</v>
      </c>
      <c r="B71" s="729"/>
      <c r="C71" s="729"/>
      <c r="D71" s="729"/>
      <c r="E71" s="729"/>
      <c r="F71" s="730"/>
      <c r="G71" s="582"/>
      <c r="H71" s="31"/>
      <c r="I71" s="31"/>
      <c r="J71" s="31"/>
      <c r="K71" s="31"/>
      <c r="L71" s="31"/>
      <c r="M71" s="31"/>
      <c r="N71" s="562"/>
    </row>
    <row r="72" spans="1:14" s="381" customFormat="1">
      <c r="A72" s="593"/>
      <c r="B72" s="587"/>
      <c r="C72" s="686"/>
      <c r="D72" s="587"/>
      <c r="E72" s="587"/>
      <c r="F72" s="587"/>
      <c r="G72" s="582"/>
      <c r="H72" s="31"/>
      <c r="I72" s="31"/>
      <c r="J72" s="31"/>
      <c r="K72" s="31"/>
      <c r="L72" s="31"/>
      <c r="M72" s="31"/>
      <c r="N72" s="562"/>
    </row>
    <row r="73" spans="1:14" s="381" customFormat="1">
      <c r="A73" s="596" t="s">
        <v>341</v>
      </c>
      <c r="B73" s="587"/>
      <c r="C73" s="686"/>
      <c r="D73" s="587"/>
      <c r="E73" s="587"/>
      <c r="F73" s="587"/>
      <c r="G73" s="582"/>
      <c r="H73" s="31"/>
      <c r="I73" s="31"/>
      <c r="J73" s="31"/>
      <c r="K73" s="31"/>
      <c r="L73" s="31"/>
      <c r="M73" s="31"/>
      <c r="N73" s="562"/>
    </row>
    <row r="74" spans="1:14" s="381" customFormat="1">
      <c r="A74" s="597" t="s">
        <v>342</v>
      </c>
      <c r="B74" s="587"/>
      <c r="C74" s="686"/>
      <c r="D74" s="587"/>
      <c r="E74" s="587"/>
      <c r="F74" s="587"/>
      <c r="G74" s="582"/>
      <c r="H74" s="31"/>
      <c r="I74" s="31"/>
      <c r="J74" s="31"/>
      <c r="K74" s="31"/>
      <c r="L74" s="31"/>
      <c r="M74" s="31"/>
      <c r="N74" s="562"/>
    </row>
    <row r="75" spans="1:14" s="381" customFormat="1" ht="27.1" customHeight="1">
      <c r="A75" s="719" t="s">
        <v>368</v>
      </c>
      <c r="B75" s="720"/>
      <c r="C75" s="720"/>
      <c r="D75" s="720"/>
      <c r="E75" s="720"/>
      <c r="F75" s="720"/>
      <c r="G75" s="582"/>
      <c r="H75" s="31"/>
      <c r="I75" s="31"/>
      <c r="J75" s="31"/>
      <c r="K75" s="31"/>
      <c r="L75" s="31"/>
      <c r="M75" s="31"/>
      <c r="N75" s="562"/>
    </row>
    <row r="76" spans="1:14" s="381" customFormat="1">
      <c r="A76" s="721"/>
      <c r="B76" s="722"/>
      <c r="C76" s="722"/>
      <c r="D76" s="722"/>
      <c r="E76" s="722"/>
      <c r="F76" s="723"/>
      <c r="G76" s="582"/>
      <c r="H76" s="31"/>
      <c r="I76" s="31"/>
      <c r="J76" s="31"/>
      <c r="K76" s="31"/>
      <c r="L76" s="31"/>
      <c r="M76" s="31"/>
      <c r="N76" s="562"/>
    </row>
    <row r="77" spans="1:14" s="381" customFormat="1">
      <c r="A77" s="724"/>
      <c r="B77" s="725"/>
      <c r="C77" s="725"/>
      <c r="D77" s="725"/>
      <c r="E77" s="725"/>
      <c r="F77" s="725"/>
      <c r="G77" s="582"/>
      <c r="H77" s="31"/>
      <c r="I77" s="31"/>
      <c r="J77" s="31"/>
      <c r="K77" s="31"/>
      <c r="L77" s="31"/>
      <c r="M77" s="31"/>
      <c r="N77" s="562"/>
    </row>
    <row r="78" spans="1:14" s="381" customFormat="1">
      <c r="A78" s="597" t="s">
        <v>344</v>
      </c>
      <c r="B78" s="587"/>
      <c r="C78" s="686"/>
      <c r="D78" s="587"/>
      <c r="E78" s="587"/>
      <c r="F78" s="587"/>
      <c r="G78" s="582"/>
      <c r="H78" s="31"/>
      <c r="I78" s="31"/>
      <c r="J78" s="31"/>
      <c r="K78" s="31"/>
      <c r="L78" s="31"/>
      <c r="M78" s="31"/>
      <c r="N78" s="562"/>
    </row>
    <row r="79" spans="1:14" s="381" customFormat="1" ht="43.45" customHeight="1">
      <c r="A79" s="726" t="s">
        <v>345</v>
      </c>
      <c r="B79" s="727"/>
      <c r="C79" s="727"/>
      <c r="D79" s="727"/>
      <c r="E79" s="727"/>
      <c r="F79" s="727"/>
      <c r="G79" s="582"/>
      <c r="H79" s="31"/>
      <c r="I79" s="31"/>
      <c r="J79" s="31"/>
      <c r="K79" s="31"/>
      <c r="L79" s="31"/>
      <c r="M79" s="31"/>
      <c r="N79" s="562"/>
    </row>
    <row r="80" spans="1:14" s="381" customFormat="1">
      <c r="A80" s="728"/>
      <c r="B80" s="729"/>
      <c r="C80" s="729"/>
      <c r="D80" s="729"/>
      <c r="E80" s="729"/>
      <c r="F80" s="730"/>
      <c r="G80" s="582"/>
      <c r="H80" s="31"/>
      <c r="I80" s="31"/>
      <c r="J80" s="31"/>
      <c r="K80" s="31"/>
      <c r="L80" s="31"/>
      <c r="M80" s="31"/>
      <c r="N80" s="562"/>
    </row>
    <row r="81" spans="1:14" s="381" customFormat="1" ht="15.6" thickBot="1">
      <c r="A81" s="598"/>
      <c r="B81" s="599"/>
      <c r="C81" s="600"/>
      <c r="D81" s="599"/>
      <c r="E81" s="599"/>
      <c r="F81" s="599"/>
      <c r="G81" s="601"/>
      <c r="H81" s="31"/>
      <c r="I81" s="31"/>
      <c r="J81" s="31"/>
      <c r="K81" s="31"/>
      <c r="L81" s="31"/>
      <c r="M81" s="31"/>
      <c r="N81" s="562"/>
    </row>
    <row r="82" spans="1:14" s="381" customFormat="1">
      <c r="A82" s="31"/>
      <c r="B82" s="31"/>
      <c r="C82" s="32"/>
      <c r="D82" s="31"/>
      <c r="E82" s="31"/>
      <c r="F82" s="31"/>
      <c r="G82" s="31"/>
      <c r="H82" s="31"/>
      <c r="I82" s="31"/>
      <c r="J82" s="31"/>
      <c r="K82" s="31"/>
      <c r="L82" s="31"/>
      <c r="M82" s="31"/>
      <c r="N82" s="562"/>
    </row>
  </sheetData>
  <mergeCells count="17">
    <mergeCell ref="A1:N1"/>
    <mergeCell ref="A52:F52"/>
    <mergeCell ref="A53:F53"/>
    <mergeCell ref="A54:B54"/>
    <mergeCell ref="A60:F60"/>
    <mergeCell ref="A61:F61"/>
    <mergeCell ref="A64:F64"/>
    <mergeCell ref="A66:F66"/>
    <mergeCell ref="A67:F67"/>
    <mergeCell ref="A68:F68"/>
    <mergeCell ref="A79:F79"/>
    <mergeCell ref="A80:F80"/>
    <mergeCell ref="A70:E70"/>
    <mergeCell ref="A71:F71"/>
    <mergeCell ref="A75:F75"/>
    <mergeCell ref="A76:F76"/>
    <mergeCell ref="A77:F77"/>
  </mergeCells>
  <printOptions horizontalCentered="1"/>
  <pageMargins left="0.2" right="0.2" top="0.75" bottom="0.75" header="0.3" footer="0.3"/>
  <pageSetup scale="65" orientation="landscape" r:id="rId1"/>
  <headerFooter>
    <oddHeader xml:space="preserve">&amp;CDRAFT NOT FOR DISTRIBUTION, INTERNAL USE ONLY
</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0.249977111117893"/>
    <pageSetUpPr fitToPage="1"/>
  </sheetPr>
  <dimension ref="A1:S86"/>
  <sheetViews>
    <sheetView zoomScale="110" zoomScaleNormal="110" workbookViewId="0">
      <selection sqref="A1:N1"/>
    </sheetView>
  </sheetViews>
  <sheetFormatPr defaultColWidth="9.140625" defaultRowHeight="14.85"/>
  <cols>
    <col min="1" max="1" width="42" style="151" customWidth="1"/>
    <col min="2" max="13" width="9.140625" style="151"/>
    <col min="14" max="14" width="63.5703125" style="49" customWidth="1"/>
    <col min="15" max="16384" width="9.140625" style="151"/>
  </cols>
  <sheetData>
    <row r="1" spans="1:14" ht="15.6">
      <c r="A1" s="745" t="s">
        <v>482</v>
      </c>
      <c r="B1" s="745"/>
      <c r="C1" s="745"/>
      <c r="D1" s="745"/>
      <c r="E1" s="745"/>
      <c r="F1" s="745"/>
      <c r="G1" s="745"/>
      <c r="H1" s="745"/>
      <c r="I1" s="745"/>
      <c r="J1" s="745"/>
      <c r="K1" s="745"/>
      <c r="L1" s="745"/>
      <c r="M1" s="745"/>
      <c r="N1" s="745"/>
    </row>
    <row r="2" spans="1:14">
      <c r="A2" s="65" t="s">
        <v>986</v>
      </c>
      <c r="B2" s="687"/>
      <c r="C2" s="381"/>
      <c r="D2" s="381"/>
      <c r="E2" s="381"/>
      <c r="F2" s="381"/>
      <c r="G2" s="381"/>
      <c r="H2" s="381"/>
      <c r="I2" s="381"/>
      <c r="J2" s="381"/>
      <c r="K2" s="381"/>
      <c r="L2" s="381"/>
      <c r="M2" s="381"/>
      <c r="N2" s="565"/>
    </row>
    <row r="3" spans="1:14" ht="37.85">
      <c r="A3" s="528" t="s">
        <v>987</v>
      </c>
      <c r="B3" s="381"/>
      <c r="C3" s="381"/>
      <c r="D3" s="381"/>
      <c r="E3" s="381"/>
      <c r="F3" s="381"/>
      <c r="G3" s="381"/>
      <c r="H3" s="29"/>
      <c r="I3" s="554" t="s">
        <v>275</v>
      </c>
      <c r="J3" s="381"/>
      <c r="K3" s="381"/>
      <c r="L3" s="381"/>
      <c r="M3" s="381"/>
      <c r="N3" s="565"/>
    </row>
    <row r="4" spans="1:14" ht="25.25">
      <c r="A4" s="528" t="s">
        <v>988</v>
      </c>
      <c r="B4" s="31"/>
      <c r="C4" s="32"/>
      <c r="D4" s="31"/>
      <c r="E4" s="31"/>
      <c r="F4" s="381"/>
      <c r="G4" s="381"/>
      <c r="H4" s="381"/>
      <c r="I4" s="381"/>
      <c r="J4" s="381"/>
      <c r="K4" s="381"/>
      <c r="L4" s="381"/>
      <c r="M4" s="381"/>
      <c r="N4" s="565"/>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130"/>
    </row>
    <row r="7" spans="1:14" s="354" customFormat="1">
      <c r="A7" s="36" t="s">
        <v>989</v>
      </c>
      <c r="B7" s="36" t="s">
        <v>990</v>
      </c>
      <c r="C7" s="37" t="s">
        <v>287</v>
      </c>
      <c r="D7" s="38">
        <v>0.33</v>
      </c>
      <c r="E7" s="263">
        <v>63</v>
      </c>
      <c r="F7" s="309">
        <f>SUM(G7:M7)</f>
        <v>65</v>
      </c>
      <c r="G7" s="310">
        <v>0</v>
      </c>
      <c r="H7" s="310">
        <v>0</v>
      </c>
      <c r="I7" s="310">
        <v>0</v>
      </c>
      <c r="J7" s="310">
        <v>0</v>
      </c>
      <c r="K7" s="310">
        <v>65</v>
      </c>
      <c r="L7" s="310">
        <v>0</v>
      </c>
      <c r="M7" s="311">
        <v>0</v>
      </c>
      <c r="N7" s="325" t="s">
        <v>991</v>
      </c>
    </row>
    <row r="8" spans="1:14" s="354" customFormat="1">
      <c r="A8" s="36" t="s">
        <v>992</v>
      </c>
      <c r="B8" s="264" t="s">
        <v>864</v>
      </c>
      <c r="C8" s="37" t="s">
        <v>287</v>
      </c>
      <c r="D8" s="39"/>
      <c r="E8" s="263">
        <v>0</v>
      </c>
      <c r="F8" s="309">
        <f>SUM(G8:M8)</f>
        <v>0</v>
      </c>
      <c r="G8" s="310">
        <v>0</v>
      </c>
      <c r="H8" s="310">
        <v>0</v>
      </c>
      <c r="I8" s="310">
        <v>0</v>
      </c>
      <c r="J8" s="310">
        <v>0</v>
      </c>
      <c r="K8" s="310">
        <v>0</v>
      </c>
      <c r="L8" s="310">
        <v>0</v>
      </c>
      <c r="M8" s="311">
        <v>0</v>
      </c>
      <c r="N8" s="325"/>
    </row>
    <row r="9" spans="1:14">
      <c r="A9" s="36" t="s">
        <v>993</v>
      </c>
      <c r="B9" s="264" t="s">
        <v>864</v>
      </c>
      <c r="C9" s="37" t="s">
        <v>287</v>
      </c>
      <c r="D9" s="39"/>
      <c r="E9" s="263">
        <v>0</v>
      </c>
      <c r="F9" s="309">
        <f>SUM(G9:M9)</f>
        <v>0</v>
      </c>
      <c r="G9" s="310">
        <v>0</v>
      </c>
      <c r="H9" s="310">
        <v>0</v>
      </c>
      <c r="I9" s="310">
        <v>0</v>
      </c>
      <c r="J9" s="310">
        <v>0</v>
      </c>
      <c r="K9" s="310"/>
      <c r="L9" s="310"/>
      <c r="M9" s="311">
        <v>0</v>
      </c>
      <c r="N9" s="355"/>
    </row>
    <row r="10" spans="1:14">
      <c r="A10" s="36" t="s">
        <v>286</v>
      </c>
      <c r="B10" s="264"/>
      <c r="C10" s="37" t="s">
        <v>287</v>
      </c>
      <c r="D10" s="39"/>
      <c r="E10" s="263">
        <v>0</v>
      </c>
      <c r="F10" s="309">
        <f>SUM(G10:M10)</f>
        <v>0</v>
      </c>
      <c r="G10" s="310">
        <v>0</v>
      </c>
      <c r="H10" s="310">
        <v>0</v>
      </c>
      <c r="I10" s="310">
        <v>0</v>
      </c>
      <c r="J10" s="310">
        <v>0</v>
      </c>
      <c r="K10" s="310"/>
      <c r="L10" s="310"/>
      <c r="M10" s="311">
        <v>0</v>
      </c>
      <c r="N10" s="355"/>
    </row>
    <row r="11" spans="1:14">
      <c r="A11" s="40" t="s">
        <v>288</v>
      </c>
      <c r="B11" s="265"/>
      <c r="C11" s="266"/>
      <c r="D11" s="41">
        <f>SUM(D7:D10)</f>
        <v>0.33</v>
      </c>
      <c r="E11" s="43">
        <f>SUM(E7:E10)</f>
        <v>63</v>
      </c>
      <c r="F11" s="43">
        <f>SUM(F7:F10)</f>
        <v>65</v>
      </c>
      <c r="G11" s="43">
        <f t="shared" ref="G11:M11" si="0">SUM(G7:G10)</f>
        <v>0</v>
      </c>
      <c r="H11" s="43">
        <f t="shared" si="0"/>
        <v>0</v>
      </c>
      <c r="I11" s="43">
        <f t="shared" si="0"/>
        <v>0</v>
      </c>
      <c r="J11" s="43">
        <f t="shared" si="0"/>
        <v>0</v>
      </c>
      <c r="K11" s="43">
        <f t="shared" si="0"/>
        <v>65</v>
      </c>
      <c r="L11" s="43">
        <f t="shared" si="0"/>
        <v>0</v>
      </c>
      <c r="M11" s="43">
        <f t="shared" si="0"/>
        <v>0</v>
      </c>
      <c r="N11" s="255"/>
    </row>
    <row r="12" spans="1:14">
      <c r="A12" s="127" t="s">
        <v>289</v>
      </c>
      <c r="B12" s="128"/>
      <c r="C12" s="129"/>
      <c r="D12" s="128"/>
      <c r="E12" s="128"/>
      <c r="F12" s="89"/>
      <c r="G12" s="89"/>
      <c r="H12" s="89"/>
      <c r="I12" s="89"/>
      <c r="J12" s="89"/>
      <c r="K12" s="89"/>
      <c r="L12" s="89"/>
      <c r="M12" s="89"/>
      <c r="N12" s="130"/>
    </row>
    <row r="13" spans="1:14">
      <c r="A13" s="264" t="s">
        <v>994</v>
      </c>
      <c r="B13" s="264"/>
      <c r="C13" s="44">
        <v>253</v>
      </c>
      <c r="D13" s="45"/>
      <c r="E13" s="263">
        <v>0</v>
      </c>
      <c r="F13" s="357">
        <f>SUM(G13:M13)</f>
        <v>0</v>
      </c>
      <c r="G13" s="310">
        <v>0</v>
      </c>
      <c r="H13" s="310">
        <v>0</v>
      </c>
      <c r="I13" s="310">
        <v>0</v>
      </c>
      <c r="J13" s="310">
        <v>0</v>
      </c>
      <c r="K13" s="310">
        <v>0</v>
      </c>
      <c r="L13" s="310">
        <v>0</v>
      </c>
      <c r="M13" s="311">
        <v>0</v>
      </c>
      <c r="N13" s="327" t="s">
        <v>995</v>
      </c>
    </row>
    <row r="14" spans="1:14" ht="118.8">
      <c r="A14" s="264" t="s">
        <v>996</v>
      </c>
      <c r="B14" s="264" t="s">
        <v>997</v>
      </c>
      <c r="C14" s="44">
        <v>253</v>
      </c>
      <c r="D14" s="45"/>
      <c r="E14" s="263">
        <v>0</v>
      </c>
      <c r="F14" s="357">
        <f>SUM(G14:M14)</f>
        <v>0</v>
      </c>
      <c r="G14" s="310">
        <v>0</v>
      </c>
      <c r="H14" s="310">
        <v>0</v>
      </c>
      <c r="I14" s="310">
        <v>0</v>
      </c>
      <c r="J14" s="310">
        <v>0</v>
      </c>
      <c r="K14" s="310">
        <v>0</v>
      </c>
      <c r="L14" s="310">
        <v>0</v>
      </c>
      <c r="M14" s="311">
        <v>0</v>
      </c>
      <c r="N14" s="327" t="s">
        <v>998</v>
      </c>
    </row>
    <row r="15" spans="1:14" ht="29.7">
      <c r="A15" s="73" t="s">
        <v>999</v>
      </c>
      <c r="B15" s="36" t="s">
        <v>1000</v>
      </c>
      <c r="C15" s="44">
        <v>253</v>
      </c>
      <c r="D15" s="267"/>
      <c r="E15" s="263">
        <v>50</v>
      </c>
      <c r="F15" s="357">
        <f>SUM(G15:M15)</f>
        <v>50</v>
      </c>
      <c r="G15" s="310">
        <v>0</v>
      </c>
      <c r="H15" s="310">
        <v>0</v>
      </c>
      <c r="I15" s="310">
        <v>0</v>
      </c>
      <c r="J15" s="310">
        <v>0</v>
      </c>
      <c r="K15" s="310">
        <v>50</v>
      </c>
      <c r="L15" s="310">
        <v>0</v>
      </c>
      <c r="M15" s="311">
        <v>0</v>
      </c>
      <c r="N15" s="325" t="s">
        <v>1001</v>
      </c>
    </row>
    <row r="16" spans="1:14">
      <c r="A16" s="40" t="s">
        <v>294</v>
      </c>
      <c r="B16" s="265"/>
      <c r="C16" s="266"/>
      <c r="D16" s="267">
        <v>0</v>
      </c>
      <c r="E16" s="43">
        <f>SUM(E13:E15)</f>
        <v>50</v>
      </c>
      <c r="F16" s="43">
        <f>SUM(F13:F15)</f>
        <v>50</v>
      </c>
      <c r="G16" s="43">
        <f t="shared" ref="G16:M16" si="1">SUM(G13:G15)</f>
        <v>0</v>
      </c>
      <c r="H16" s="43">
        <f t="shared" si="1"/>
        <v>0</v>
      </c>
      <c r="I16" s="43">
        <f t="shared" si="1"/>
        <v>0</v>
      </c>
      <c r="J16" s="43">
        <f t="shared" si="1"/>
        <v>0</v>
      </c>
      <c r="K16" s="43">
        <f t="shared" si="1"/>
        <v>50</v>
      </c>
      <c r="L16" s="43">
        <f t="shared" si="1"/>
        <v>0</v>
      </c>
      <c r="M16" s="43">
        <f t="shared" si="1"/>
        <v>0</v>
      </c>
      <c r="N16" s="325"/>
    </row>
    <row r="17" spans="1:14">
      <c r="A17" s="127" t="s">
        <v>356</v>
      </c>
      <c r="B17" s="128"/>
      <c r="C17" s="129"/>
      <c r="D17" s="128"/>
      <c r="E17" s="128"/>
      <c r="F17" s="89"/>
      <c r="G17" s="89"/>
      <c r="H17" s="89"/>
      <c r="I17" s="89"/>
      <c r="J17" s="89"/>
      <c r="K17" s="89"/>
      <c r="L17" s="89"/>
      <c r="M17" s="89"/>
      <c r="N17" s="130"/>
    </row>
    <row r="18" spans="1:14">
      <c r="A18" s="264" t="s">
        <v>296</v>
      </c>
      <c r="B18" s="36"/>
      <c r="C18" s="37" t="s">
        <v>297</v>
      </c>
      <c r="D18" s="38">
        <v>0</v>
      </c>
      <c r="E18" s="263">
        <v>5</v>
      </c>
      <c r="F18" s="309">
        <f t="shared" ref="F18:F38" si="2">SUM(G18:M18)</f>
        <v>5</v>
      </c>
      <c r="G18" s="310">
        <v>0</v>
      </c>
      <c r="H18" s="310">
        <v>0</v>
      </c>
      <c r="I18" s="310">
        <v>0</v>
      </c>
      <c r="J18" s="310">
        <v>0</v>
      </c>
      <c r="K18" s="310">
        <v>5</v>
      </c>
      <c r="L18" s="310">
        <v>0</v>
      </c>
      <c r="M18" s="311">
        <v>0</v>
      </c>
      <c r="N18" s="325"/>
    </row>
    <row r="19" spans="1:14">
      <c r="A19" s="264" t="s">
        <v>298</v>
      </c>
      <c r="B19" s="36"/>
      <c r="C19" s="44" t="s">
        <v>299</v>
      </c>
      <c r="D19" s="45"/>
      <c r="E19" s="263">
        <v>0</v>
      </c>
      <c r="F19" s="309">
        <f t="shared" si="2"/>
        <v>0</v>
      </c>
      <c r="G19" s="310">
        <v>0</v>
      </c>
      <c r="H19" s="310">
        <v>0</v>
      </c>
      <c r="I19" s="310">
        <v>0</v>
      </c>
      <c r="J19" s="310">
        <v>0</v>
      </c>
      <c r="K19" s="310"/>
      <c r="L19" s="310">
        <v>0</v>
      </c>
      <c r="M19" s="311">
        <v>0</v>
      </c>
      <c r="N19" s="325"/>
    </row>
    <row r="20" spans="1:14">
      <c r="A20" s="264" t="s">
        <v>300</v>
      </c>
      <c r="B20" s="36"/>
      <c r="C20" s="44" t="s">
        <v>301</v>
      </c>
      <c r="D20" s="45"/>
      <c r="E20" s="263">
        <v>0</v>
      </c>
      <c r="F20" s="309">
        <f t="shared" si="2"/>
        <v>0</v>
      </c>
      <c r="G20" s="310">
        <v>0</v>
      </c>
      <c r="H20" s="310">
        <v>0</v>
      </c>
      <c r="I20" s="310">
        <v>0</v>
      </c>
      <c r="J20" s="310">
        <v>0</v>
      </c>
      <c r="K20" s="310"/>
      <c r="L20" s="310">
        <v>0</v>
      </c>
      <c r="M20" s="311">
        <v>0</v>
      </c>
      <c r="N20" s="325"/>
    </row>
    <row r="21" spans="1:14">
      <c r="A21" s="264" t="s">
        <v>302</v>
      </c>
      <c r="B21" s="36"/>
      <c r="C21" s="44" t="s">
        <v>303</v>
      </c>
      <c r="D21" s="45"/>
      <c r="E21" s="263">
        <v>0</v>
      </c>
      <c r="F21" s="309">
        <f t="shared" si="2"/>
        <v>0</v>
      </c>
      <c r="G21" s="310">
        <v>0</v>
      </c>
      <c r="H21" s="310">
        <v>0</v>
      </c>
      <c r="I21" s="310">
        <v>0</v>
      </c>
      <c r="J21" s="310">
        <v>0</v>
      </c>
      <c r="K21" s="310"/>
      <c r="L21" s="310">
        <v>0</v>
      </c>
      <c r="M21" s="311">
        <v>0</v>
      </c>
      <c r="N21" s="325"/>
    </row>
    <row r="22" spans="1:14">
      <c r="A22" s="264" t="s">
        <v>304</v>
      </c>
      <c r="B22" s="36"/>
      <c r="C22" s="44">
        <v>252</v>
      </c>
      <c r="D22" s="45"/>
      <c r="E22" s="263">
        <v>0</v>
      </c>
      <c r="F22" s="309">
        <f t="shared" si="2"/>
        <v>0</v>
      </c>
      <c r="G22" s="310">
        <v>0</v>
      </c>
      <c r="H22" s="310">
        <v>0</v>
      </c>
      <c r="I22" s="310">
        <v>0</v>
      </c>
      <c r="J22" s="310">
        <v>0</v>
      </c>
      <c r="K22" s="310"/>
      <c r="L22" s="310">
        <v>0</v>
      </c>
      <c r="M22" s="311">
        <v>0</v>
      </c>
      <c r="N22" s="325"/>
    </row>
    <row r="23" spans="1:14" s="381" customFormat="1" ht="59.4">
      <c r="A23" s="575" t="s">
        <v>1002</v>
      </c>
      <c r="B23" s="57" t="s">
        <v>1003</v>
      </c>
      <c r="C23" s="628">
        <v>252</v>
      </c>
      <c r="D23" s="45"/>
      <c r="E23" s="263">
        <v>62</v>
      </c>
      <c r="F23" s="309">
        <v>30</v>
      </c>
      <c r="G23" s="310"/>
      <c r="H23" s="310"/>
      <c r="I23" s="310"/>
      <c r="J23" s="310"/>
      <c r="K23" s="310">
        <v>30</v>
      </c>
      <c r="L23" s="310"/>
      <c r="M23" s="311"/>
      <c r="N23" s="325" t="s">
        <v>1004</v>
      </c>
    </row>
    <row r="24" spans="1:14" s="381" customFormat="1" ht="29.7">
      <c r="A24" s="575" t="s">
        <v>1002</v>
      </c>
      <c r="B24" s="57" t="s">
        <v>1005</v>
      </c>
      <c r="C24" s="628">
        <v>252</v>
      </c>
      <c r="D24" s="45"/>
      <c r="E24" s="263">
        <v>250</v>
      </c>
      <c r="F24" s="309">
        <v>160</v>
      </c>
      <c r="G24" s="310"/>
      <c r="H24" s="310"/>
      <c r="I24" s="310"/>
      <c r="J24" s="310"/>
      <c r="K24" s="310">
        <v>160</v>
      </c>
      <c r="L24" s="310"/>
      <c r="M24" s="311"/>
      <c r="N24" s="325" t="s">
        <v>1006</v>
      </c>
    </row>
    <row r="25" spans="1:14" s="381" customFormat="1" ht="44.55">
      <c r="A25" s="575" t="s">
        <v>1007</v>
      </c>
      <c r="B25" s="57" t="s">
        <v>1003</v>
      </c>
      <c r="C25" s="628">
        <v>252</v>
      </c>
      <c r="D25" s="45"/>
      <c r="E25" s="263">
        <v>250</v>
      </c>
      <c r="F25" s="309">
        <f t="shared" ref="F25:F31" si="3">SUM(G25:M25)</f>
        <v>250</v>
      </c>
      <c r="G25" s="310">
        <v>0</v>
      </c>
      <c r="H25" s="310">
        <v>0</v>
      </c>
      <c r="I25" s="310">
        <v>0</v>
      </c>
      <c r="J25" s="310">
        <v>0</v>
      </c>
      <c r="K25" s="310">
        <v>250</v>
      </c>
      <c r="L25" s="310">
        <v>0</v>
      </c>
      <c r="M25" s="311">
        <v>0</v>
      </c>
      <c r="N25" s="325" t="s">
        <v>1008</v>
      </c>
    </row>
    <row r="26" spans="1:14" s="381" customFormat="1" ht="59.95" customHeight="1">
      <c r="A26" s="575" t="s">
        <v>1009</v>
      </c>
      <c r="B26" s="57" t="s">
        <v>1003</v>
      </c>
      <c r="C26" s="628">
        <v>252</v>
      </c>
      <c r="D26" s="45"/>
      <c r="E26" s="263">
        <v>970</v>
      </c>
      <c r="F26" s="309">
        <v>990</v>
      </c>
      <c r="G26" s="310">
        <v>0</v>
      </c>
      <c r="H26" s="310">
        <v>0</v>
      </c>
      <c r="I26" s="310">
        <v>0</v>
      </c>
      <c r="J26" s="310">
        <v>0</v>
      </c>
      <c r="K26" s="310">
        <v>990</v>
      </c>
      <c r="L26" s="310">
        <v>0</v>
      </c>
      <c r="M26" s="311">
        <v>0</v>
      </c>
      <c r="N26" s="100" t="s">
        <v>1010</v>
      </c>
    </row>
    <row r="27" spans="1:14" s="381" customFormat="1" ht="106.9" customHeight="1">
      <c r="A27" s="575" t="s">
        <v>1011</v>
      </c>
      <c r="B27" s="57" t="s">
        <v>1012</v>
      </c>
      <c r="C27" s="628">
        <v>252</v>
      </c>
      <c r="D27" s="629"/>
      <c r="E27" s="263">
        <v>750</v>
      </c>
      <c r="F27" s="309">
        <v>750</v>
      </c>
      <c r="G27" s="310">
        <v>0</v>
      </c>
      <c r="H27" s="310">
        <v>0</v>
      </c>
      <c r="I27" s="310">
        <v>0</v>
      </c>
      <c r="J27" s="310">
        <v>0</v>
      </c>
      <c r="K27" s="310">
        <v>750</v>
      </c>
      <c r="L27" s="310">
        <v>0</v>
      </c>
      <c r="M27" s="311">
        <v>0</v>
      </c>
      <c r="N27" s="633" t="s">
        <v>1013</v>
      </c>
    </row>
    <row r="28" spans="1:14" s="381" customFormat="1" ht="44.55">
      <c r="A28" s="575" t="s">
        <v>1014</v>
      </c>
      <c r="B28" s="57"/>
      <c r="C28" s="628">
        <v>252</v>
      </c>
      <c r="D28" s="45"/>
      <c r="E28" s="263"/>
      <c r="F28" s="309">
        <v>350</v>
      </c>
      <c r="G28" s="310"/>
      <c r="H28" s="310"/>
      <c r="I28" s="310"/>
      <c r="J28" s="310"/>
      <c r="K28" s="310">
        <v>350</v>
      </c>
      <c r="L28" s="310"/>
      <c r="M28" s="311"/>
      <c r="N28" s="325" t="s">
        <v>1015</v>
      </c>
    </row>
    <row r="29" spans="1:14" s="381" customFormat="1" ht="77.2" customHeight="1">
      <c r="A29" s="575" t="s">
        <v>1016</v>
      </c>
      <c r="B29" s="57"/>
      <c r="C29" s="628">
        <v>252</v>
      </c>
      <c r="D29" s="45"/>
      <c r="E29" s="263">
        <v>31</v>
      </c>
      <c r="F29" s="309">
        <f t="shared" si="3"/>
        <v>31</v>
      </c>
      <c r="G29" s="310">
        <v>0</v>
      </c>
      <c r="H29" s="310">
        <v>0</v>
      </c>
      <c r="I29" s="310">
        <v>0</v>
      </c>
      <c r="J29" s="310">
        <v>0</v>
      </c>
      <c r="K29" s="310">
        <v>31</v>
      </c>
      <c r="L29" s="310">
        <v>0</v>
      </c>
      <c r="M29" s="311">
        <v>0</v>
      </c>
      <c r="N29" s="325" t="s">
        <v>1017</v>
      </c>
    </row>
    <row r="30" spans="1:14" s="381" customFormat="1" ht="29.7">
      <c r="A30" s="575" t="s">
        <v>1018</v>
      </c>
      <c r="B30" s="57"/>
      <c r="C30" s="628">
        <v>252</v>
      </c>
      <c r="D30" s="45"/>
      <c r="E30" s="263">
        <v>55</v>
      </c>
      <c r="F30" s="309">
        <f t="shared" si="3"/>
        <v>55</v>
      </c>
      <c r="G30" s="310">
        <v>0</v>
      </c>
      <c r="H30" s="310">
        <v>0</v>
      </c>
      <c r="I30" s="310">
        <v>0</v>
      </c>
      <c r="J30" s="310">
        <v>0</v>
      </c>
      <c r="K30" s="310">
        <v>55</v>
      </c>
      <c r="L30" s="310">
        <v>0</v>
      </c>
      <c r="M30" s="311">
        <v>0</v>
      </c>
      <c r="N30" s="325" t="s">
        <v>1019</v>
      </c>
    </row>
    <row r="31" spans="1:14" s="381" customFormat="1" ht="74.25">
      <c r="A31" s="575" t="s">
        <v>1020</v>
      </c>
      <c r="B31" s="57"/>
      <c r="C31" s="628">
        <v>252</v>
      </c>
      <c r="D31" s="45"/>
      <c r="E31" s="263">
        <v>250</v>
      </c>
      <c r="F31" s="309">
        <f t="shared" si="3"/>
        <v>175</v>
      </c>
      <c r="G31" s="310">
        <v>0</v>
      </c>
      <c r="H31" s="310">
        <v>0</v>
      </c>
      <c r="I31" s="310">
        <v>0</v>
      </c>
      <c r="J31" s="310">
        <v>0</v>
      </c>
      <c r="K31" s="310">
        <v>175</v>
      </c>
      <c r="L31" s="310">
        <v>0</v>
      </c>
      <c r="M31" s="311">
        <v>0</v>
      </c>
      <c r="N31" s="100" t="s">
        <v>1021</v>
      </c>
    </row>
    <row r="32" spans="1:14" s="321" customFormat="1">
      <c r="A32" s="264" t="s">
        <v>313</v>
      </c>
      <c r="B32" s="36"/>
      <c r="C32" s="44">
        <v>252</v>
      </c>
      <c r="D32" s="267"/>
      <c r="E32" s="263">
        <v>0</v>
      </c>
      <c r="F32" s="309">
        <f t="shared" si="2"/>
        <v>0</v>
      </c>
      <c r="G32" s="310">
        <v>0</v>
      </c>
      <c r="H32" s="310">
        <v>0</v>
      </c>
      <c r="I32" s="310">
        <v>0</v>
      </c>
      <c r="J32" s="310">
        <v>0</v>
      </c>
      <c r="K32" s="310">
        <v>0</v>
      </c>
      <c r="L32" s="310">
        <v>0</v>
      </c>
      <c r="M32" s="311">
        <v>0</v>
      </c>
      <c r="N32" s="327"/>
    </row>
    <row r="33" spans="1:14">
      <c r="A33" s="264" t="s">
        <v>314</v>
      </c>
      <c r="B33" s="36"/>
      <c r="C33" s="44">
        <v>252</v>
      </c>
      <c r="D33" s="45"/>
      <c r="E33" s="263">
        <v>0</v>
      </c>
      <c r="F33" s="309">
        <f t="shared" si="2"/>
        <v>0</v>
      </c>
      <c r="G33" s="310">
        <v>0</v>
      </c>
      <c r="H33" s="310">
        <v>0</v>
      </c>
      <c r="I33" s="310">
        <v>0</v>
      </c>
      <c r="J33" s="310">
        <v>0</v>
      </c>
      <c r="K33" s="310">
        <v>0</v>
      </c>
      <c r="L33" s="310">
        <v>0</v>
      </c>
      <c r="M33" s="311">
        <v>0</v>
      </c>
      <c r="N33" s="325"/>
    </row>
    <row r="34" spans="1:14">
      <c r="A34" s="264" t="s">
        <v>315</v>
      </c>
      <c r="B34" s="36"/>
      <c r="C34" s="44">
        <v>253</v>
      </c>
      <c r="D34" s="264"/>
      <c r="E34" s="263">
        <v>0</v>
      </c>
      <c r="F34" s="309">
        <f t="shared" si="2"/>
        <v>0</v>
      </c>
      <c r="G34" s="310">
        <v>0</v>
      </c>
      <c r="H34" s="310">
        <v>0</v>
      </c>
      <c r="I34" s="310">
        <v>0</v>
      </c>
      <c r="J34" s="310">
        <v>0</v>
      </c>
      <c r="K34" s="310"/>
      <c r="L34" s="310">
        <v>0</v>
      </c>
      <c r="M34" s="311">
        <v>0</v>
      </c>
      <c r="N34" s="325"/>
    </row>
    <row r="35" spans="1:14">
      <c r="A35" s="264" t="s">
        <v>316</v>
      </c>
      <c r="B35" s="36"/>
      <c r="C35" s="44">
        <v>255</v>
      </c>
      <c r="D35" s="264"/>
      <c r="E35" s="263">
        <v>0</v>
      </c>
      <c r="F35" s="309">
        <f t="shared" si="2"/>
        <v>0</v>
      </c>
      <c r="G35" s="310">
        <v>0</v>
      </c>
      <c r="H35" s="310">
        <v>0</v>
      </c>
      <c r="I35" s="310">
        <v>0</v>
      </c>
      <c r="J35" s="310">
        <v>0</v>
      </c>
      <c r="K35" s="310"/>
      <c r="L35" s="310">
        <v>0</v>
      </c>
      <c r="M35" s="311">
        <v>0</v>
      </c>
      <c r="N35" s="325"/>
    </row>
    <row r="36" spans="1:14">
      <c r="A36" s="264" t="s">
        <v>317</v>
      </c>
      <c r="B36" s="36"/>
      <c r="C36" s="44">
        <v>256</v>
      </c>
      <c r="D36" s="264"/>
      <c r="E36" s="263">
        <v>0</v>
      </c>
      <c r="F36" s="309">
        <f t="shared" si="2"/>
        <v>0</v>
      </c>
      <c r="G36" s="310">
        <v>0</v>
      </c>
      <c r="H36" s="310">
        <v>0</v>
      </c>
      <c r="I36" s="310">
        <v>0</v>
      </c>
      <c r="J36" s="310">
        <v>0</v>
      </c>
      <c r="K36" s="310"/>
      <c r="L36" s="310">
        <v>0</v>
      </c>
      <c r="M36" s="311">
        <v>0</v>
      </c>
      <c r="N36" s="325"/>
    </row>
    <row r="37" spans="1:14">
      <c r="A37" s="264" t="s">
        <v>318</v>
      </c>
      <c r="B37" s="36"/>
      <c r="C37" s="44">
        <v>257</v>
      </c>
      <c r="D37" s="264"/>
      <c r="E37" s="263">
        <v>0</v>
      </c>
      <c r="F37" s="309">
        <f t="shared" si="2"/>
        <v>0</v>
      </c>
      <c r="G37" s="310">
        <v>0</v>
      </c>
      <c r="H37" s="310">
        <v>0</v>
      </c>
      <c r="I37" s="310">
        <v>0</v>
      </c>
      <c r="J37" s="310">
        <v>0</v>
      </c>
      <c r="K37" s="310"/>
      <c r="L37" s="310">
        <v>0</v>
      </c>
      <c r="M37" s="311">
        <v>0</v>
      </c>
      <c r="N37" s="325"/>
    </row>
    <row r="38" spans="1:14">
      <c r="A38" s="264" t="s">
        <v>319</v>
      </c>
      <c r="B38" s="36"/>
      <c r="C38" s="44" t="s">
        <v>320</v>
      </c>
      <c r="D38" s="264"/>
      <c r="E38" s="263">
        <v>1</v>
      </c>
      <c r="F38" s="309">
        <f t="shared" si="2"/>
        <v>1</v>
      </c>
      <c r="G38" s="310">
        <v>0</v>
      </c>
      <c r="H38" s="310">
        <v>0</v>
      </c>
      <c r="I38" s="310">
        <v>0</v>
      </c>
      <c r="J38" s="310">
        <v>0</v>
      </c>
      <c r="K38" s="310">
        <v>1</v>
      </c>
      <c r="L38" s="310">
        <v>0</v>
      </c>
      <c r="M38" s="311">
        <v>0</v>
      </c>
      <c r="N38" s="325"/>
    </row>
    <row r="39" spans="1:14" s="381" customFormat="1">
      <c r="A39" s="265" t="s">
        <v>321</v>
      </c>
      <c r="B39" s="36"/>
      <c r="C39" s="266" t="s">
        <v>322</v>
      </c>
      <c r="D39" s="265"/>
      <c r="E39" s="263">
        <v>0</v>
      </c>
      <c r="F39" s="309">
        <f>SUM(G39:M39)</f>
        <v>0</v>
      </c>
      <c r="G39" s="310">
        <v>0</v>
      </c>
      <c r="H39" s="310">
        <v>0</v>
      </c>
      <c r="I39" s="310">
        <v>0</v>
      </c>
      <c r="J39" s="310">
        <v>0</v>
      </c>
      <c r="K39" s="310">
        <v>0</v>
      </c>
      <c r="L39" s="310">
        <v>0</v>
      </c>
      <c r="M39" s="311">
        <v>0</v>
      </c>
      <c r="N39" s="325"/>
    </row>
    <row r="40" spans="1:14" s="381" customFormat="1" ht="44.55">
      <c r="A40" s="632" t="s">
        <v>1022</v>
      </c>
      <c r="B40" s="672"/>
      <c r="C40" s="664" t="s">
        <v>324</v>
      </c>
      <c r="D40" s="632"/>
      <c r="E40" s="318">
        <v>-917</v>
      </c>
      <c r="F40" s="309">
        <f>SUM(G40:M40)</f>
        <v>36</v>
      </c>
      <c r="G40" s="165">
        <v>0</v>
      </c>
      <c r="H40" s="165">
        <v>0</v>
      </c>
      <c r="I40" s="165">
        <v>0</v>
      </c>
      <c r="J40" s="165">
        <v>0</v>
      </c>
      <c r="K40" s="165">
        <v>36</v>
      </c>
      <c r="L40" s="165">
        <v>0</v>
      </c>
      <c r="M40" s="166">
        <v>0</v>
      </c>
      <c r="N40" s="633" t="s">
        <v>1370</v>
      </c>
    </row>
    <row r="41" spans="1:14">
      <c r="A41" s="40" t="s">
        <v>326</v>
      </c>
      <c r="B41" s="265"/>
      <c r="C41" s="266"/>
      <c r="D41" s="267"/>
      <c r="E41" s="42">
        <f t="shared" ref="E41:M41" si="4">SUM(E18:E40)</f>
        <v>1707</v>
      </c>
      <c r="F41" s="43">
        <f t="shared" si="4"/>
        <v>2833</v>
      </c>
      <c r="G41" s="43">
        <f t="shared" si="4"/>
        <v>0</v>
      </c>
      <c r="H41" s="43">
        <f t="shared" si="4"/>
        <v>0</v>
      </c>
      <c r="I41" s="43">
        <f t="shared" si="4"/>
        <v>0</v>
      </c>
      <c r="J41" s="43">
        <f t="shared" si="4"/>
        <v>0</v>
      </c>
      <c r="K41" s="43">
        <f t="shared" si="4"/>
        <v>2833</v>
      </c>
      <c r="L41" s="43">
        <f t="shared" si="4"/>
        <v>0</v>
      </c>
      <c r="M41" s="43">
        <f t="shared" si="4"/>
        <v>0</v>
      </c>
      <c r="N41" s="325"/>
    </row>
    <row r="42" spans="1:14">
      <c r="A42" s="40" t="s">
        <v>327</v>
      </c>
      <c r="B42" s="51"/>
      <c r="C42" s="149"/>
      <c r="D42" s="267"/>
      <c r="E42" s="241">
        <v>0</v>
      </c>
      <c r="F42" s="240">
        <f>SUM(G42:L42)</f>
        <v>0</v>
      </c>
      <c r="G42" s="240"/>
      <c r="H42" s="240">
        <v>0</v>
      </c>
      <c r="I42" s="240"/>
      <c r="J42" s="240"/>
      <c r="K42" s="240"/>
      <c r="L42" s="240"/>
      <c r="M42" s="240"/>
      <c r="N42" s="631"/>
    </row>
    <row r="43" spans="1:14">
      <c r="A43" s="40" t="s">
        <v>328</v>
      </c>
      <c r="B43" s="46"/>
      <c r="C43" s="47"/>
      <c r="D43" s="48">
        <v>0.3</v>
      </c>
      <c r="E43" s="43">
        <f t="shared" ref="E43:M43" si="5">E41+E16+E11-E42</f>
        <v>1820</v>
      </c>
      <c r="F43" s="43">
        <f t="shared" si="5"/>
        <v>2948</v>
      </c>
      <c r="G43" s="43">
        <f t="shared" si="5"/>
        <v>0</v>
      </c>
      <c r="H43" s="43">
        <f t="shared" si="5"/>
        <v>0</v>
      </c>
      <c r="I43" s="43">
        <f t="shared" si="5"/>
        <v>0</v>
      </c>
      <c r="J43" s="43">
        <f t="shared" si="5"/>
        <v>0</v>
      </c>
      <c r="K43" s="43">
        <f t="shared" si="5"/>
        <v>2948</v>
      </c>
      <c r="L43" s="43">
        <f t="shared" si="5"/>
        <v>0</v>
      </c>
      <c r="M43" s="43">
        <f t="shared" si="5"/>
        <v>0</v>
      </c>
      <c r="N43" s="162"/>
    </row>
    <row r="44" spans="1:14">
      <c r="A44" s="381"/>
      <c r="B44" s="219" t="s">
        <v>759</v>
      </c>
      <c r="C44" s="53"/>
      <c r="D44" s="53"/>
      <c r="E44" s="248">
        <f>E43-C47</f>
        <v>900</v>
      </c>
      <c r="F44" s="248">
        <f>F43-B47</f>
        <v>2012</v>
      </c>
      <c r="G44" s="381"/>
      <c r="H44" s="381"/>
      <c r="I44" s="381"/>
      <c r="J44" s="381"/>
      <c r="K44" s="381"/>
      <c r="L44" s="381"/>
      <c r="M44" s="381"/>
      <c r="N44" s="314"/>
    </row>
    <row r="45" spans="1:14" ht="28.2" customHeight="1">
      <c r="A45" s="381"/>
      <c r="B45" s="381"/>
      <c r="C45" s="381"/>
      <c r="D45" s="381"/>
      <c r="E45" s="381"/>
      <c r="F45" s="381"/>
      <c r="G45" s="381"/>
      <c r="H45" s="381"/>
      <c r="I45" s="381"/>
      <c r="J45" s="381"/>
      <c r="K45" s="381"/>
      <c r="L45" s="381"/>
      <c r="M45" s="381"/>
      <c r="N45" s="315"/>
    </row>
    <row r="46" spans="1:14">
      <c r="A46" s="56" t="s">
        <v>392</v>
      </c>
      <c r="B46" s="31">
        <v>2022</v>
      </c>
      <c r="C46" s="31">
        <v>2021</v>
      </c>
      <c r="D46" s="31"/>
      <c r="E46" s="31"/>
      <c r="F46" s="454"/>
      <c r="G46" s="31"/>
      <c r="H46" s="31"/>
      <c r="I46" s="31"/>
      <c r="J46" s="31"/>
      <c r="K46" s="31"/>
      <c r="L46" s="31"/>
      <c r="M46" s="31"/>
      <c r="N46" s="315"/>
    </row>
    <row r="47" spans="1:14">
      <c r="A47" s="57" t="s">
        <v>394</v>
      </c>
      <c r="B47" s="58">
        <f>900+36</f>
        <v>936</v>
      </c>
      <c r="C47" s="58">
        <v>920</v>
      </c>
      <c r="D47" s="31" t="s">
        <v>1369</v>
      </c>
      <c r="E47" s="313"/>
      <c r="F47" s="455"/>
      <c r="G47" s="313"/>
      <c r="H47" s="313"/>
      <c r="I47" s="313"/>
      <c r="J47" s="313"/>
      <c r="K47" s="313"/>
      <c r="L47" s="313"/>
      <c r="M47" s="313"/>
      <c r="N47" s="315"/>
    </row>
    <row r="48" spans="1:14">
      <c r="A48" s="264" t="s">
        <v>396</v>
      </c>
      <c r="B48" s="59">
        <v>0</v>
      </c>
      <c r="C48" s="59"/>
      <c r="D48" s="31"/>
      <c r="E48" s="31"/>
      <c r="F48" s="31"/>
      <c r="G48" s="31"/>
      <c r="H48" s="31"/>
      <c r="I48" s="31"/>
      <c r="J48" s="31"/>
      <c r="K48" s="31"/>
      <c r="L48" s="31"/>
      <c r="M48" s="31"/>
      <c r="N48" s="316"/>
    </row>
    <row r="49" spans="1:19">
      <c r="A49" s="60" t="s">
        <v>784</v>
      </c>
      <c r="B49" s="61">
        <f>B47-B48</f>
        <v>936</v>
      </c>
      <c r="C49" s="61">
        <f>C47-C48</f>
        <v>920</v>
      </c>
      <c r="D49" s="313"/>
      <c r="E49" s="313"/>
      <c r="F49" s="313"/>
      <c r="G49" s="313"/>
      <c r="H49" s="313"/>
      <c r="I49" s="313"/>
      <c r="J49" s="313"/>
      <c r="K49" s="313"/>
      <c r="L49" s="313"/>
      <c r="M49" s="313"/>
      <c r="N49" s="313"/>
      <c r="O49" s="313"/>
      <c r="P49" s="313"/>
      <c r="Q49" s="313"/>
      <c r="R49" s="313"/>
      <c r="S49" s="313"/>
    </row>
    <row r="50" spans="1:19">
      <c r="A50" s="863" t="s">
        <v>1023</v>
      </c>
      <c r="B50" s="863"/>
      <c r="C50" s="863"/>
      <c r="D50" s="313"/>
      <c r="E50" s="313"/>
      <c r="F50" s="313"/>
      <c r="G50" s="313"/>
      <c r="H50" s="313"/>
      <c r="I50" s="313"/>
      <c r="J50" s="313"/>
      <c r="K50" s="313"/>
      <c r="L50" s="313"/>
      <c r="M50" s="313"/>
      <c r="N50" s="313"/>
      <c r="O50" s="381"/>
      <c r="P50" s="381"/>
      <c r="Q50" s="381"/>
      <c r="R50" s="381"/>
      <c r="S50" s="381"/>
    </row>
    <row r="53" spans="1:19" s="381" customFormat="1" ht="15.6" thickBot="1">
      <c r="A53" s="31"/>
      <c r="B53" s="31"/>
      <c r="C53" s="32"/>
      <c r="D53" s="31"/>
      <c r="E53" s="31"/>
      <c r="F53" s="31"/>
      <c r="G53" s="31"/>
      <c r="H53" s="31"/>
      <c r="I53" s="31"/>
      <c r="J53" s="31"/>
      <c r="K53" s="31"/>
      <c r="L53" s="31"/>
      <c r="M53" s="31"/>
      <c r="N53" s="562"/>
    </row>
    <row r="54" spans="1:19" s="381" customFormat="1" ht="15.6">
      <c r="A54" s="764" t="s">
        <v>330</v>
      </c>
      <c r="B54" s="765"/>
      <c r="C54" s="765"/>
      <c r="D54" s="765"/>
      <c r="E54" s="765"/>
      <c r="F54" s="765"/>
      <c r="G54" s="581"/>
      <c r="H54" s="31"/>
      <c r="I54" s="31"/>
      <c r="J54" s="31"/>
      <c r="K54" s="31"/>
      <c r="L54" s="31"/>
      <c r="M54" s="31"/>
      <c r="N54" s="562"/>
    </row>
    <row r="55" spans="1:19" s="381" customFormat="1" ht="15.6">
      <c r="A55" s="738"/>
      <c r="B55" s="739"/>
      <c r="C55" s="739"/>
      <c r="D55" s="739"/>
      <c r="E55" s="739"/>
      <c r="F55" s="739"/>
      <c r="G55" s="582"/>
      <c r="H55" s="31"/>
      <c r="I55" s="31"/>
      <c r="J55" s="31"/>
      <c r="K55" s="31"/>
      <c r="L55" s="31"/>
      <c r="M55" s="31"/>
      <c r="N55" s="562"/>
    </row>
    <row r="56" spans="1:19" s="381" customFormat="1">
      <c r="A56" s="740" t="s">
        <v>331</v>
      </c>
      <c r="B56" s="741"/>
      <c r="C56" s="583"/>
      <c r="D56" s="583"/>
      <c r="E56" s="583"/>
      <c r="F56" s="583"/>
      <c r="G56" s="582"/>
      <c r="H56" s="31"/>
      <c r="I56" s="31"/>
      <c r="J56" s="31"/>
      <c r="K56" s="31"/>
      <c r="L56" s="31"/>
      <c r="M56" s="31"/>
      <c r="N56" s="562"/>
    </row>
    <row r="57" spans="1:19" s="381" customFormat="1">
      <c r="A57" s="584" t="s">
        <v>480</v>
      </c>
      <c r="B57" s="585">
        <f>E43</f>
        <v>1820</v>
      </c>
      <c r="C57" s="586"/>
      <c r="D57" s="587"/>
      <c r="E57" s="587"/>
      <c r="F57" s="587"/>
      <c r="G57" s="582"/>
      <c r="H57" s="31"/>
      <c r="I57" s="31"/>
      <c r="J57" s="31"/>
      <c r="K57" s="31"/>
      <c r="L57" s="31"/>
      <c r="M57" s="31"/>
      <c r="N57" s="562"/>
    </row>
    <row r="58" spans="1:19" s="381" customFormat="1">
      <c r="A58" s="588" t="s">
        <v>362</v>
      </c>
      <c r="B58" s="589">
        <f>F43</f>
        <v>2948</v>
      </c>
      <c r="C58" s="586"/>
      <c r="D58" s="587"/>
      <c r="E58" s="587"/>
      <c r="F58" s="587"/>
      <c r="G58" s="582"/>
      <c r="H58" s="31"/>
      <c r="I58" s="31"/>
      <c r="J58" s="31"/>
      <c r="K58" s="31"/>
      <c r="L58" s="31"/>
      <c r="M58" s="31"/>
      <c r="N58" s="562"/>
    </row>
    <row r="59" spans="1:19" s="381" customFormat="1">
      <c r="A59" s="590" t="s">
        <v>334</v>
      </c>
      <c r="B59" s="591">
        <f>B58-B57</f>
        <v>1128</v>
      </c>
      <c r="C59" s="586"/>
      <c r="D59" s="587"/>
      <c r="E59" s="587"/>
      <c r="F59" s="587"/>
      <c r="G59" s="582"/>
      <c r="H59" s="31"/>
      <c r="I59" s="31"/>
      <c r="J59" s="31"/>
      <c r="K59" s="31"/>
      <c r="L59" s="31"/>
      <c r="M59" s="31"/>
      <c r="N59" s="562"/>
    </row>
    <row r="60" spans="1:19" s="381" customFormat="1">
      <c r="A60" s="590" t="s">
        <v>335</v>
      </c>
      <c r="B60" s="592">
        <f>B59/B57</f>
        <v>0.6197802197802198</v>
      </c>
      <c r="C60" s="586"/>
      <c r="D60" s="587"/>
      <c r="E60" s="587"/>
      <c r="F60" s="587"/>
      <c r="G60" s="582"/>
      <c r="H60" s="31"/>
      <c r="I60" s="31"/>
      <c r="J60" s="31"/>
      <c r="K60" s="31"/>
      <c r="L60" s="31"/>
      <c r="M60" s="31"/>
      <c r="N60" s="562"/>
    </row>
    <row r="61" spans="1:19" s="381" customFormat="1">
      <c r="A61" s="593"/>
      <c r="B61" s="587"/>
      <c r="C61" s="686"/>
      <c r="D61" s="587"/>
      <c r="E61" s="587"/>
      <c r="F61" s="587"/>
      <c r="G61" s="582"/>
      <c r="H61" s="31"/>
      <c r="I61" s="31"/>
      <c r="J61" s="31"/>
      <c r="K61" s="31"/>
      <c r="L61" s="31"/>
      <c r="M61" s="31"/>
      <c r="N61" s="562"/>
    </row>
    <row r="62" spans="1:19" s="381" customFormat="1">
      <c r="A62" s="731" t="s">
        <v>336</v>
      </c>
      <c r="B62" s="732"/>
      <c r="C62" s="732"/>
      <c r="D62" s="732"/>
      <c r="E62" s="732"/>
      <c r="F62" s="732"/>
      <c r="G62" s="582"/>
      <c r="H62" s="31"/>
      <c r="I62" s="31"/>
      <c r="J62" s="31"/>
      <c r="K62" s="31"/>
      <c r="L62" s="31"/>
      <c r="M62" s="31"/>
      <c r="N62" s="562"/>
    </row>
    <row r="63" spans="1:19" s="381" customFormat="1" ht="116" customHeight="1">
      <c r="A63" s="742" t="s">
        <v>1024</v>
      </c>
      <c r="B63" s="743"/>
      <c r="C63" s="743"/>
      <c r="D63" s="743"/>
      <c r="E63" s="743"/>
      <c r="F63" s="744"/>
      <c r="G63" s="582"/>
      <c r="H63" s="31"/>
      <c r="I63" s="31"/>
      <c r="J63" s="31"/>
      <c r="K63" s="31"/>
      <c r="L63" s="31"/>
      <c r="M63" s="31"/>
      <c r="N63" s="562"/>
    </row>
    <row r="64" spans="1:19" s="381" customFormat="1">
      <c r="A64" s="594"/>
      <c r="B64" s="595"/>
      <c r="C64" s="595"/>
      <c r="D64" s="595"/>
      <c r="E64" s="595"/>
      <c r="F64" s="595"/>
      <c r="G64" s="582"/>
      <c r="H64" s="31"/>
      <c r="I64" s="31"/>
      <c r="J64" s="31"/>
      <c r="K64" s="31"/>
      <c r="L64" s="31"/>
      <c r="M64" s="31"/>
      <c r="N64" s="562"/>
    </row>
    <row r="65" spans="1:14" s="381" customFormat="1">
      <c r="A65" s="596" t="s">
        <v>337</v>
      </c>
      <c r="B65" s="587"/>
      <c r="C65" s="686"/>
      <c r="D65" s="587"/>
      <c r="E65" s="587"/>
      <c r="F65" s="587"/>
      <c r="G65" s="582"/>
      <c r="H65" s="31"/>
      <c r="I65" s="31"/>
      <c r="J65" s="31"/>
      <c r="K65" s="31"/>
      <c r="L65" s="31"/>
      <c r="M65" s="31"/>
      <c r="N65" s="562"/>
    </row>
    <row r="66" spans="1:14" s="381" customFormat="1" ht="397.15" customHeight="1">
      <c r="A66" s="834" t="s">
        <v>1025</v>
      </c>
      <c r="B66" s="864"/>
      <c r="C66" s="864"/>
      <c r="D66" s="864"/>
      <c r="E66" s="864"/>
      <c r="F66" s="865"/>
      <c r="G66" s="582"/>
      <c r="H66" s="31"/>
      <c r="I66" s="31"/>
      <c r="J66" s="31"/>
      <c r="K66" s="31"/>
      <c r="L66" s="31"/>
      <c r="M66" s="31"/>
      <c r="N66" s="562"/>
    </row>
    <row r="67" spans="1:14" s="381" customFormat="1">
      <c r="A67" s="593"/>
      <c r="B67" s="587"/>
      <c r="C67" s="686"/>
      <c r="D67" s="587"/>
      <c r="E67" s="587"/>
      <c r="F67" s="587"/>
      <c r="G67" s="582"/>
      <c r="H67" s="31"/>
      <c r="I67" s="31"/>
      <c r="J67" s="31"/>
      <c r="K67" s="31"/>
      <c r="L67" s="31"/>
      <c r="M67" s="31"/>
      <c r="N67" s="562"/>
    </row>
    <row r="68" spans="1:14" s="381" customFormat="1">
      <c r="A68" s="731" t="s">
        <v>365</v>
      </c>
      <c r="B68" s="732"/>
      <c r="C68" s="732"/>
      <c r="D68" s="732"/>
      <c r="E68" s="732"/>
      <c r="F68" s="732"/>
      <c r="G68" s="582"/>
      <c r="H68" s="31"/>
      <c r="I68" s="31"/>
      <c r="J68" s="31"/>
      <c r="K68" s="31"/>
      <c r="L68" s="31"/>
      <c r="M68" s="31"/>
      <c r="N68" s="562"/>
    </row>
    <row r="69" spans="1:14" s="381" customFormat="1">
      <c r="A69" s="733" t="s">
        <v>339</v>
      </c>
      <c r="B69" s="734"/>
      <c r="C69" s="734"/>
      <c r="D69" s="734"/>
      <c r="E69" s="734"/>
      <c r="F69" s="734"/>
      <c r="G69" s="582"/>
      <c r="H69" s="31"/>
      <c r="I69" s="31"/>
      <c r="J69" s="31"/>
      <c r="K69" s="31"/>
      <c r="L69" s="31"/>
      <c r="M69" s="31"/>
      <c r="N69" s="562"/>
    </row>
    <row r="70" spans="1:14" s="381" customFormat="1" ht="198.95" customHeight="1">
      <c r="A70" s="742" t="s">
        <v>1026</v>
      </c>
      <c r="B70" s="736"/>
      <c r="C70" s="736"/>
      <c r="D70" s="736"/>
      <c r="E70" s="736"/>
      <c r="F70" s="737"/>
      <c r="G70" s="582"/>
      <c r="H70" s="31"/>
      <c r="I70" s="31"/>
      <c r="J70" s="31"/>
      <c r="K70" s="31"/>
      <c r="L70" s="31"/>
      <c r="M70" s="31"/>
      <c r="N70" s="562"/>
    </row>
    <row r="71" spans="1:14" s="381" customFormat="1">
      <c r="A71" s="596"/>
      <c r="B71" s="587"/>
      <c r="C71" s="686"/>
      <c r="D71" s="587"/>
      <c r="E71" s="587"/>
      <c r="F71" s="587"/>
      <c r="G71" s="582"/>
      <c r="H71" s="31"/>
      <c r="I71" s="31"/>
      <c r="J71" s="31"/>
      <c r="K71" s="31"/>
      <c r="L71" s="31"/>
      <c r="M71" s="31"/>
      <c r="N71" s="562"/>
    </row>
    <row r="72" spans="1:14" s="381" customFormat="1">
      <c r="A72" s="731" t="s">
        <v>340</v>
      </c>
      <c r="B72" s="732"/>
      <c r="C72" s="732"/>
      <c r="D72" s="732"/>
      <c r="E72" s="732"/>
      <c r="F72" s="587"/>
      <c r="G72" s="582"/>
      <c r="H72" s="31"/>
      <c r="I72" s="31"/>
      <c r="J72" s="31"/>
      <c r="K72" s="31"/>
      <c r="L72" s="31"/>
      <c r="M72" s="31"/>
      <c r="N72" s="562"/>
    </row>
    <row r="73" spans="1:14" s="381" customFormat="1" ht="82.4" customHeight="1">
      <c r="A73" s="766" t="s">
        <v>1027</v>
      </c>
      <c r="B73" s="729"/>
      <c r="C73" s="729"/>
      <c r="D73" s="729"/>
      <c r="E73" s="729"/>
      <c r="F73" s="730"/>
      <c r="G73" s="582"/>
      <c r="H73" s="31"/>
      <c r="I73" s="31"/>
      <c r="J73" s="31"/>
      <c r="K73" s="31"/>
      <c r="L73" s="31"/>
      <c r="M73" s="31"/>
      <c r="N73" s="562"/>
    </row>
    <row r="74" spans="1:14" s="381" customFormat="1">
      <c r="A74" s="593"/>
      <c r="B74" s="587"/>
      <c r="C74" s="686"/>
      <c r="D74" s="587"/>
      <c r="E74" s="587"/>
      <c r="F74" s="587"/>
      <c r="G74" s="582"/>
      <c r="H74" s="31"/>
      <c r="I74" s="31"/>
      <c r="J74" s="31"/>
      <c r="K74" s="31"/>
      <c r="L74" s="31"/>
      <c r="M74" s="31"/>
      <c r="N74" s="562"/>
    </row>
    <row r="75" spans="1:14" s="381" customFormat="1">
      <c r="A75" s="596" t="s">
        <v>341</v>
      </c>
      <c r="B75" s="587"/>
      <c r="C75" s="686"/>
      <c r="D75" s="587"/>
      <c r="E75" s="587"/>
      <c r="F75" s="587"/>
      <c r="G75" s="582"/>
      <c r="H75" s="31"/>
      <c r="I75" s="31"/>
      <c r="J75" s="31"/>
      <c r="K75" s="31"/>
      <c r="L75" s="31"/>
      <c r="M75" s="31"/>
      <c r="N75" s="562"/>
    </row>
    <row r="76" spans="1:14" s="381" customFormat="1">
      <c r="A76" s="597" t="s">
        <v>342</v>
      </c>
      <c r="B76" s="587"/>
      <c r="C76" s="686"/>
      <c r="D76" s="587"/>
      <c r="E76" s="587"/>
      <c r="F76" s="587"/>
      <c r="G76" s="582"/>
      <c r="H76" s="31"/>
      <c r="I76" s="31"/>
      <c r="J76" s="31"/>
      <c r="K76" s="31"/>
      <c r="L76" s="31"/>
      <c r="M76" s="31"/>
      <c r="N76" s="562"/>
    </row>
    <row r="77" spans="1:14" s="381" customFormat="1" ht="26.2" customHeight="1">
      <c r="A77" s="719" t="s">
        <v>368</v>
      </c>
      <c r="B77" s="720"/>
      <c r="C77" s="720"/>
      <c r="D77" s="720"/>
      <c r="E77" s="720"/>
      <c r="F77" s="720"/>
      <c r="G77" s="582"/>
      <c r="H77" s="31"/>
      <c r="I77" s="31"/>
      <c r="J77" s="31"/>
      <c r="K77" s="31"/>
      <c r="L77" s="31"/>
      <c r="M77" s="31"/>
      <c r="N77" s="562"/>
    </row>
    <row r="78" spans="1:14" s="381" customFormat="1" ht="296.2" customHeight="1">
      <c r="A78" s="742" t="s">
        <v>1028</v>
      </c>
      <c r="B78" s="722"/>
      <c r="C78" s="722"/>
      <c r="D78" s="722"/>
      <c r="E78" s="722"/>
      <c r="F78" s="723"/>
      <c r="G78" s="582"/>
      <c r="H78" s="31"/>
      <c r="I78" s="31"/>
      <c r="J78" s="31"/>
      <c r="K78" s="31"/>
      <c r="L78" s="31"/>
      <c r="M78" s="31"/>
      <c r="N78" s="562"/>
    </row>
    <row r="79" spans="1:14" s="381" customFormat="1">
      <c r="A79" s="724"/>
      <c r="B79" s="725"/>
      <c r="C79" s="725"/>
      <c r="D79" s="725"/>
      <c r="E79" s="725"/>
      <c r="F79" s="725"/>
      <c r="G79" s="582"/>
      <c r="H79" s="31"/>
      <c r="I79" s="31"/>
      <c r="J79" s="31"/>
      <c r="K79" s="31"/>
      <c r="L79" s="31"/>
      <c r="M79" s="31"/>
      <c r="N79" s="562"/>
    </row>
    <row r="80" spans="1:14" s="381" customFormat="1">
      <c r="A80" s="597" t="s">
        <v>344</v>
      </c>
      <c r="B80" s="587"/>
      <c r="C80" s="686"/>
      <c r="D80" s="587"/>
      <c r="E80" s="587"/>
      <c r="F80" s="587"/>
      <c r="G80" s="582"/>
      <c r="H80" s="31"/>
      <c r="I80" s="31"/>
      <c r="J80" s="31"/>
      <c r="K80" s="31"/>
      <c r="L80" s="31"/>
      <c r="M80" s="31"/>
      <c r="N80" s="562"/>
    </row>
    <row r="81" spans="1:14" s="381" customFormat="1" ht="41.6" customHeight="1">
      <c r="A81" s="726" t="s">
        <v>345</v>
      </c>
      <c r="B81" s="727"/>
      <c r="C81" s="727"/>
      <c r="D81" s="727"/>
      <c r="E81" s="727"/>
      <c r="F81" s="727"/>
      <c r="G81" s="582"/>
      <c r="H81" s="31"/>
      <c r="I81" s="31"/>
      <c r="J81" s="31"/>
      <c r="K81" s="31"/>
      <c r="L81" s="31"/>
      <c r="M81" s="31"/>
      <c r="N81" s="562"/>
    </row>
    <row r="82" spans="1:14" s="381" customFormat="1" ht="198.95" customHeight="1">
      <c r="A82" s="766" t="s">
        <v>1029</v>
      </c>
      <c r="B82" s="767"/>
      <c r="C82" s="767"/>
      <c r="D82" s="767"/>
      <c r="E82" s="767"/>
      <c r="F82" s="768"/>
      <c r="G82" s="582"/>
      <c r="H82" s="31"/>
      <c r="I82" s="31"/>
      <c r="J82" s="31"/>
      <c r="K82" s="31"/>
      <c r="L82" s="31"/>
      <c r="M82" s="31"/>
      <c r="N82" s="562"/>
    </row>
    <row r="83" spans="1:14" s="381" customFormat="1" ht="15.6" thickBot="1">
      <c r="A83" s="598"/>
      <c r="B83" s="599"/>
      <c r="C83" s="600"/>
      <c r="D83" s="599"/>
      <c r="E83" s="599"/>
      <c r="F83" s="599"/>
      <c r="G83" s="601"/>
      <c r="H83" s="31"/>
      <c r="I83" s="31"/>
      <c r="J83" s="31"/>
      <c r="K83" s="31"/>
      <c r="L83" s="31"/>
      <c r="M83" s="31"/>
      <c r="N83" s="562"/>
    </row>
    <row r="84" spans="1:14" s="381" customFormat="1">
      <c r="A84" s="31"/>
      <c r="B84" s="31"/>
      <c r="C84" s="32"/>
      <c r="D84" s="31"/>
      <c r="E84" s="31"/>
      <c r="F84" s="31"/>
      <c r="G84" s="31"/>
      <c r="H84" s="31"/>
      <c r="I84" s="31"/>
      <c r="J84" s="31"/>
      <c r="K84" s="31"/>
      <c r="L84" s="31"/>
      <c r="M84" s="31"/>
      <c r="N84" s="562"/>
    </row>
    <row r="85" spans="1:14" s="381" customFormat="1">
      <c r="N85" s="565"/>
    </row>
    <row r="86" spans="1:14" s="381" customFormat="1">
      <c r="N86" s="565"/>
    </row>
  </sheetData>
  <mergeCells count="18">
    <mergeCell ref="A1:N1"/>
    <mergeCell ref="A54:F54"/>
    <mergeCell ref="A55:F55"/>
    <mergeCell ref="A56:B56"/>
    <mergeCell ref="A62:F62"/>
    <mergeCell ref="A81:F81"/>
    <mergeCell ref="A82:F82"/>
    <mergeCell ref="A50:C50"/>
    <mergeCell ref="A72:E72"/>
    <mergeCell ref="A73:F73"/>
    <mergeCell ref="A77:F77"/>
    <mergeCell ref="A78:F78"/>
    <mergeCell ref="A79:F79"/>
    <mergeCell ref="A63:F63"/>
    <mergeCell ref="A66:F66"/>
    <mergeCell ref="A68:F68"/>
    <mergeCell ref="A69:F69"/>
    <mergeCell ref="A70:F70"/>
  </mergeCells>
  <printOptions horizontalCentered="1"/>
  <pageMargins left="0.2" right="0.2" top="0.75" bottom="0.75" header="0.3" footer="0.3"/>
  <pageSetup scale="62" fitToHeight="0" orientation="landscape" r:id="rId1"/>
  <headerFooter>
    <oddHeader xml:space="preserve">&amp;CDRAFT NOT FOR DISTRIBUTION, INTERNAL USE ONLY
</oddHead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0.249977111117893"/>
    <pageSetUpPr fitToPage="1"/>
  </sheetPr>
  <dimension ref="A1:N81"/>
  <sheetViews>
    <sheetView zoomScaleNormal="100" workbookViewId="0">
      <selection sqref="A1:N1"/>
    </sheetView>
  </sheetViews>
  <sheetFormatPr defaultColWidth="8.85546875" defaultRowHeight="14.85"/>
  <cols>
    <col min="1" max="1" width="49.28515625" style="285" bestFit="1" customWidth="1"/>
    <col min="2" max="2" width="16" style="285" customWidth="1"/>
    <col min="3" max="3" width="7.7109375" style="152" customWidth="1"/>
    <col min="4" max="4" width="8.7109375" style="285" customWidth="1"/>
    <col min="5" max="5" width="10.7109375" style="285" customWidth="1"/>
    <col min="6" max="6" width="11" style="285" customWidth="1"/>
    <col min="7" max="7" width="9.5703125" style="285" customWidth="1"/>
    <col min="8" max="8" width="8.42578125" style="285" customWidth="1"/>
    <col min="9" max="10" width="7.140625" style="285" customWidth="1"/>
    <col min="11" max="11" width="7.7109375" style="285" customWidth="1"/>
    <col min="12" max="12" width="9.7109375" style="285" customWidth="1"/>
    <col min="13" max="13" width="9.140625" style="285" customWidth="1"/>
    <col min="14" max="14" width="48.85546875" style="285" customWidth="1"/>
    <col min="15" max="16384" width="8.85546875" style="285"/>
  </cols>
  <sheetData>
    <row r="1" spans="1:14" s="308" customFormat="1" ht="15.6">
      <c r="A1" s="745" t="s">
        <v>346</v>
      </c>
      <c r="B1" s="745"/>
      <c r="C1" s="745"/>
      <c r="D1" s="745"/>
      <c r="E1" s="745"/>
      <c r="F1" s="745"/>
      <c r="G1" s="745"/>
      <c r="H1" s="745"/>
      <c r="I1" s="745"/>
      <c r="J1" s="745"/>
      <c r="K1" s="745"/>
      <c r="L1" s="745"/>
      <c r="M1" s="745"/>
      <c r="N1" s="745"/>
    </row>
    <row r="2" spans="1:14" s="308" customFormat="1">
      <c r="A2" s="65" t="s">
        <v>1030</v>
      </c>
      <c r="B2" s="381"/>
      <c r="C2" s="687"/>
      <c r="D2" s="381"/>
      <c r="E2" s="381"/>
      <c r="F2" s="29"/>
      <c r="G2" s="29"/>
      <c r="H2" s="29"/>
      <c r="I2" s="29"/>
      <c r="J2" s="381"/>
      <c r="K2" s="381"/>
      <c r="L2" s="381"/>
      <c r="M2" s="381"/>
      <c r="N2" s="381"/>
    </row>
    <row r="3" spans="1:14" s="308" customFormat="1">
      <c r="A3" s="68" t="s">
        <v>1031</v>
      </c>
      <c r="B3" s="514"/>
      <c r="C3" s="687"/>
      <c r="D3" s="381"/>
      <c r="E3" s="381"/>
      <c r="F3" s="381"/>
      <c r="G3" s="554" t="s">
        <v>275</v>
      </c>
      <c r="H3" s="381"/>
      <c r="I3" s="381"/>
      <c r="J3" s="381"/>
      <c r="K3" s="381"/>
      <c r="L3" s="381"/>
      <c r="M3" s="381"/>
      <c r="N3" s="381"/>
    </row>
    <row r="4" spans="1:14" s="381" customFormat="1">
      <c r="A4" s="68" t="s">
        <v>1032</v>
      </c>
      <c r="B4" s="413"/>
      <c r="C4" s="687"/>
    </row>
    <row r="5" spans="1:14" s="321" customFormat="1"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1033</v>
      </c>
      <c r="B7" s="36"/>
      <c r="C7" s="37" t="s">
        <v>287</v>
      </c>
      <c r="D7" s="38"/>
      <c r="E7" s="263">
        <v>0</v>
      </c>
      <c r="F7" s="309">
        <f>SUM(G7:M7)</f>
        <v>0</v>
      </c>
      <c r="G7" s="310">
        <v>0</v>
      </c>
      <c r="H7" s="310">
        <v>0</v>
      </c>
      <c r="I7" s="310">
        <v>0</v>
      </c>
      <c r="J7" s="310">
        <v>0</v>
      </c>
      <c r="K7" s="310">
        <v>0</v>
      </c>
      <c r="L7" s="310">
        <v>0</v>
      </c>
      <c r="M7" s="311">
        <v>0</v>
      </c>
      <c r="N7" s="325"/>
    </row>
    <row r="8" spans="1:14" ht="15.05" customHeight="1">
      <c r="A8" s="36" t="s">
        <v>1034</v>
      </c>
      <c r="B8" s="264"/>
      <c r="C8" s="37" t="s">
        <v>287</v>
      </c>
      <c r="D8" s="39"/>
      <c r="E8" s="263">
        <v>0</v>
      </c>
      <c r="F8" s="309">
        <f t="shared" ref="F8:F15" si="0">SUM(G8:M8)</f>
        <v>0</v>
      </c>
      <c r="G8" s="310">
        <v>0</v>
      </c>
      <c r="H8" s="310">
        <v>0</v>
      </c>
      <c r="I8" s="310">
        <v>0</v>
      </c>
      <c r="J8" s="310">
        <v>0</v>
      </c>
      <c r="K8" s="310">
        <v>0</v>
      </c>
      <c r="L8" s="310">
        <v>0</v>
      </c>
      <c r="M8" s="311">
        <v>0</v>
      </c>
      <c r="N8" s="325"/>
    </row>
    <row r="9" spans="1:14" ht="15.05" customHeight="1">
      <c r="A9" s="36" t="s">
        <v>1035</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993</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c r="A18" s="264" t="s">
        <v>384</v>
      </c>
      <c r="B18" s="264"/>
      <c r="C18" s="44">
        <v>253</v>
      </c>
      <c r="D18" s="45"/>
      <c r="E18" s="263">
        <v>0</v>
      </c>
      <c r="F18" s="357">
        <f>SUM(G18:M18)</f>
        <v>0</v>
      </c>
      <c r="G18" s="310">
        <v>0</v>
      </c>
      <c r="H18" s="310">
        <v>0</v>
      </c>
      <c r="I18" s="310">
        <v>0</v>
      </c>
      <c r="J18" s="310">
        <v>0</v>
      </c>
      <c r="K18" s="310">
        <v>0</v>
      </c>
      <c r="L18" s="310">
        <v>0</v>
      </c>
      <c r="M18" s="311">
        <v>0</v>
      </c>
      <c r="N18" s="326"/>
    </row>
    <row r="19" spans="1:14">
      <c r="A19" s="264" t="s">
        <v>379</v>
      </c>
      <c r="B19" s="264"/>
      <c r="C19" s="44">
        <v>253</v>
      </c>
      <c r="D19" s="45"/>
      <c r="E19" s="263">
        <v>0</v>
      </c>
      <c r="F19" s="357">
        <f>SUM(G19:M19)</f>
        <v>0</v>
      </c>
      <c r="G19" s="310">
        <v>0</v>
      </c>
      <c r="H19" s="310">
        <v>0</v>
      </c>
      <c r="I19" s="310">
        <v>0</v>
      </c>
      <c r="J19" s="310">
        <v>0</v>
      </c>
      <c r="K19" s="310">
        <v>0</v>
      </c>
      <c r="L19" s="310">
        <v>0</v>
      </c>
      <c r="M19" s="311">
        <v>0</v>
      </c>
      <c r="N19" s="326"/>
    </row>
    <row r="20" spans="1:14">
      <c r="A20" s="73" t="s">
        <v>293</v>
      </c>
      <c r="B20" s="264" t="s">
        <v>804</v>
      </c>
      <c r="C20" s="44">
        <v>253</v>
      </c>
      <c r="D20" s="267"/>
      <c r="E20" s="263">
        <v>0</v>
      </c>
      <c r="F20" s="357">
        <f>SUM(G20:M20)</f>
        <v>0</v>
      </c>
      <c r="G20" s="310">
        <v>0</v>
      </c>
      <c r="H20" s="310">
        <v>0</v>
      </c>
      <c r="I20" s="310">
        <v>0</v>
      </c>
      <c r="J20" s="310">
        <v>0</v>
      </c>
      <c r="K20" s="310">
        <v>0</v>
      </c>
      <c r="L20" s="310">
        <v>0</v>
      </c>
      <c r="M20" s="311">
        <v>0</v>
      </c>
      <c r="N20" s="355"/>
    </row>
    <row r="21" spans="1:14">
      <c r="A21" s="73" t="s">
        <v>384</v>
      </c>
      <c r="B21" s="264"/>
      <c r="C21" s="44">
        <v>253</v>
      </c>
      <c r="D21" s="267"/>
      <c r="E21" s="263">
        <v>0</v>
      </c>
      <c r="F21" s="357">
        <f>SUM(G21:M21)</f>
        <v>0</v>
      </c>
      <c r="G21" s="310">
        <v>0</v>
      </c>
      <c r="H21" s="310">
        <v>0</v>
      </c>
      <c r="I21" s="310">
        <v>0</v>
      </c>
      <c r="J21" s="310">
        <v>0</v>
      </c>
      <c r="K21" s="310">
        <v>0</v>
      </c>
      <c r="L21" s="310">
        <v>0</v>
      </c>
      <c r="M21" s="311">
        <v>0</v>
      </c>
      <c r="N21" s="355"/>
    </row>
    <row r="22" spans="1:14" s="286" customFormat="1">
      <c r="A22" s="73" t="s">
        <v>384</v>
      </c>
      <c r="B22" s="264"/>
      <c r="C22" s="44">
        <v>253</v>
      </c>
      <c r="D22" s="267"/>
      <c r="E22" s="263">
        <v>0</v>
      </c>
      <c r="F22" s="357">
        <f>SUM(G22:M22)</f>
        <v>0</v>
      </c>
      <c r="G22" s="310">
        <v>0</v>
      </c>
      <c r="H22" s="310">
        <v>0</v>
      </c>
      <c r="I22" s="310">
        <v>0</v>
      </c>
      <c r="J22" s="310">
        <v>0</v>
      </c>
      <c r="K22" s="310">
        <v>0</v>
      </c>
      <c r="L22" s="310">
        <v>0</v>
      </c>
      <c r="M22" s="311">
        <v>0</v>
      </c>
      <c r="N22" s="326"/>
    </row>
    <row r="23" spans="1:14">
      <c r="A23" s="40" t="s">
        <v>294</v>
      </c>
      <c r="B23" s="265"/>
      <c r="C23" s="266"/>
      <c r="D23" s="267">
        <f>SUM(D18:D22)</f>
        <v>0</v>
      </c>
      <c r="E23" s="42">
        <f>SUM(E18:E22)</f>
        <v>0</v>
      </c>
      <c r="F23" s="43">
        <f>SUM(F18:F22)</f>
        <v>0</v>
      </c>
      <c r="G23" s="43">
        <f t="shared" ref="G23:M23" si="2">SUM(G18:G22)</f>
        <v>0</v>
      </c>
      <c r="H23" s="43">
        <f t="shared" si="2"/>
        <v>0</v>
      </c>
      <c r="I23" s="43">
        <f t="shared" si="2"/>
        <v>0</v>
      </c>
      <c r="J23" s="43">
        <f t="shared" si="2"/>
        <v>0</v>
      </c>
      <c r="K23" s="43">
        <f t="shared" si="2"/>
        <v>0</v>
      </c>
      <c r="L23" s="43">
        <f t="shared" si="2"/>
        <v>0</v>
      </c>
      <c r="M23" s="43">
        <f t="shared" si="2"/>
        <v>0</v>
      </c>
      <c r="N23" s="355"/>
    </row>
    <row r="24" spans="1:14" s="286" customFormat="1">
      <c r="A24" s="69" t="s">
        <v>356</v>
      </c>
      <c r="B24" s="70"/>
      <c r="C24" s="71"/>
      <c r="D24" s="70"/>
      <c r="E24" s="70"/>
      <c r="F24" s="72"/>
      <c r="G24" s="72"/>
      <c r="H24" s="72"/>
      <c r="I24" s="72"/>
      <c r="J24" s="72"/>
      <c r="K24" s="72"/>
      <c r="L24" s="72"/>
      <c r="M24" s="72"/>
      <c r="N24" s="72"/>
    </row>
    <row r="25" spans="1:14" ht="15.05" customHeight="1">
      <c r="A25" s="264" t="s">
        <v>296</v>
      </c>
      <c r="B25" s="36"/>
      <c r="C25" s="37" t="s">
        <v>297</v>
      </c>
      <c r="D25" s="38">
        <v>0</v>
      </c>
      <c r="E25" s="263">
        <v>0</v>
      </c>
      <c r="F25" s="357">
        <f t="shared" ref="F25:F38" si="3">SUM(G25:M25)</f>
        <v>0</v>
      </c>
      <c r="G25" s="310">
        <v>0</v>
      </c>
      <c r="H25" s="310">
        <v>0</v>
      </c>
      <c r="I25" s="310">
        <v>0</v>
      </c>
      <c r="J25" s="310">
        <v>0</v>
      </c>
      <c r="K25" s="310">
        <v>0</v>
      </c>
      <c r="L25" s="310">
        <v>0</v>
      </c>
      <c r="M25" s="311">
        <v>0</v>
      </c>
      <c r="N25" s="355"/>
    </row>
    <row r="26" spans="1:14">
      <c r="A26" s="264" t="s">
        <v>298</v>
      </c>
      <c r="B26" s="36"/>
      <c r="C26" s="44" t="s">
        <v>299</v>
      </c>
      <c r="D26" s="45"/>
      <c r="E26" s="263">
        <v>0</v>
      </c>
      <c r="F26" s="357">
        <f t="shared" si="3"/>
        <v>0</v>
      </c>
      <c r="G26" s="310">
        <v>0</v>
      </c>
      <c r="H26" s="310">
        <v>0</v>
      </c>
      <c r="I26" s="310">
        <v>0</v>
      </c>
      <c r="J26" s="310">
        <v>0</v>
      </c>
      <c r="K26" s="310">
        <v>0</v>
      </c>
      <c r="L26" s="310">
        <v>0</v>
      </c>
      <c r="M26" s="311">
        <v>0</v>
      </c>
      <c r="N26" s="355"/>
    </row>
    <row r="27" spans="1:14">
      <c r="A27" s="264" t="s">
        <v>300</v>
      </c>
      <c r="B27" s="36"/>
      <c r="C27" s="44" t="s">
        <v>301</v>
      </c>
      <c r="D27" s="45"/>
      <c r="E27" s="263">
        <v>0</v>
      </c>
      <c r="F27" s="357">
        <f t="shared" si="3"/>
        <v>0</v>
      </c>
      <c r="G27" s="310">
        <v>0</v>
      </c>
      <c r="H27" s="310">
        <v>0</v>
      </c>
      <c r="I27" s="310">
        <v>0</v>
      </c>
      <c r="J27" s="310">
        <v>0</v>
      </c>
      <c r="K27" s="310">
        <v>0</v>
      </c>
      <c r="L27" s="310">
        <v>0</v>
      </c>
      <c r="M27" s="311">
        <v>0</v>
      </c>
      <c r="N27" s="355"/>
    </row>
    <row r="28" spans="1:14">
      <c r="A28" s="264" t="s">
        <v>302</v>
      </c>
      <c r="B28" s="36"/>
      <c r="C28" s="44" t="s">
        <v>303</v>
      </c>
      <c r="D28" s="45"/>
      <c r="E28" s="263">
        <v>0</v>
      </c>
      <c r="F28" s="357">
        <f t="shared" si="3"/>
        <v>0</v>
      </c>
      <c r="G28" s="310">
        <v>0</v>
      </c>
      <c r="H28" s="310">
        <v>0</v>
      </c>
      <c r="I28" s="310">
        <v>0</v>
      </c>
      <c r="J28" s="310">
        <v>0</v>
      </c>
      <c r="K28" s="310">
        <v>0</v>
      </c>
      <c r="L28" s="310">
        <v>0</v>
      </c>
      <c r="M28" s="311">
        <v>0</v>
      </c>
      <c r="N28" s="355"/>
    </row>
    <row r="29" spans="1:14" s="381" customFormat="1">
      <c r="A29" s="555" t="s">
        <v>304</v>
      </c>
      <c r="B29" s="57"/>
      <c r="C29" s="628">
        <v>251</v>
      </c>
      <c r="D29" s="45"/>
      <c r="E29" s="263">
        <v>14</v>
      </c>
      <c r="F29" s="357">
        <f t="shared" ref="F29:F32" si="4">SUM(G29:M29)</f>
        <v>0</v>
      </c>
      <c r="G29" s="310">
        <v>0</v>
      </c>
      <c r="H29" s="310">
        <v>0</v>
      </c>
      <c r="I29" s="310">
        <v>0</v>
      </c>
      <c r="J29" s="310">
        <v>0</v>
      </c>
      <c r="K29" s="310">
        <v>0</v>
      </c>
      <c r="L29" s="310">
        <v>0</v>
      </c>
      <c r="M29" s="311">
        <v>0</v>
      </c>
      <c r="N29" s="355" t="s">
        <v>1036</v>
      </c>
    </row>
    <row r="30" spans="1:14" s="381" customFormat="1" ht="44.55">
      <c r="A30" s="555" t="s">
        <v>1037</v>
      </c>
      <c r="B30" s="57" t="s">
        <v>1038</v>
      </c>
      <c r="C30" s="628">
        <v>252</v>
      </c>
      <c r="D30" s="45"/>
      <c r="E30" s="263">
        <v>104</v>
      </c>
      <c r="F30" s="309">
        <f t="shared" si="4"/>
        <v>265</v>
      </c>
      <c r="G30" s="310">
        <v>0</v>
      </c>
      <c r="H30" s="310">
        <f>104+55</f>
        <v>159</v>
      </c>
      <c r="I30" s="310">
        <v>0</v>
      </c>
      <c r="J30" s="310">
        <v>0</v>
      </c>
      <c r="K30" s="310">
        <f>265-104-161</f>
        <v>0</v>
      </c>
      <c r="L30" s="310">
        <f>161-55</f>
        <v>106</v>
      </c>
      <c r="M30" s="311">
        <v>0</v>
      </c>
      <c r="N30" s="325" t="s">
        <v>1039</v>
      </c>
    </row>
    <row r="31" spans="1:14" s="381" customFormat="1" ht="59.4">
      <c r="A31" s="555" t="s">
        <v>1040</v>
      </c>
      <c r="B31" s="57" t="s">
        <v>1038</v>
      </c>
      <c r="C31" s="628">
        <v>252</v>
      </c>
      <c r="D31" s="45"/>
      <c r="E31" s="263">
        <v>201</v>
      </c>
      <c r="F31" s="309">
        <f t="shared" si="4"/>
        <v>822</v>
      </c>
      <c r="G31" s="310">
        <v>0</v>
      </c>
      <c r="H31" s="310">
        <f>185+615</f>
        <v>800</v>
      </c>
      <c r="I31" s="310">
        <v>0</v>
      </c>
      <c r="J31" s="310">
        <v>0</v>
      </c>
      <c r="K31" s="310">
        <f>207-55-152</f>
        <v>0</v>
      </c>
      <c r="L31" s="310">
        <f>152-130</f>
        <v>22</v>
      </c>
      <c r="M31" s="311">
        <v>0</v>
      </c>
      <c r="N31" s="325" t="s">
        <v>1041</v>
      </c>
    </row>
    <row r="32" spans="1:14" s="381" customFormat="1">
      <c r="A32" s="555" t="s">
        <v>1042</v>
      </c>
      <c r="B32" s="57" t="s">
        <v>1043</v>
      </c>
      <c r="C32" s="628">
        <v>252</v>
      </c>
      <c r="D32" s="45"/>
      <c r="E32" s="263">
        <v>31</v>
      </c>
      <c r="F32" s="309">
        <f t="shared" si="4"/>
        <v>32</v>
      </c>
      <c r="G32" s="310"/>
      <c r="H32" s="310"/>
      <c r="I32" s="310"/>
      <c r="J32" s="310"/>
      <c r="K32" s="310">
        <v>32</v>
      </c>
      <c r="L32" s="310"/>
      <c r="M32" s="311"/>
      <c r="N32" s="355" t="s">
        <v>1044</v>
      </c>
    </row>
    <row r="33" spans="1:14">
      <c r="A33" s="264" t="s">
        <v>314</v>
      </c>
      <c r="B33" s="36"/>
      <c r="C33" s="44">
        <v>252</v>
      </c>
      <c r="D33" s="45"/>
      <c r="E33" s="263">
        <v>0</v>
      </c>
      <c r="F33" s="357">
        <f t="shared" si="3"/>
        <v>0</v>
      </c>
      <c r="G33" s="310">
        <v>0</v>
      </c>
      <c r="H33" s="310">
        <v>0</v>
      </c>
      <c r="I33" s="310">
        <v>0</v>
      </c>
      <c r="J33" s="310">
        <v>0</v>
      </c>
      <c r="K33" s="310">
        <v>0</v>
      </c>
      <c r="L33" s="310">
        <v>0</v>
      </c>
      <c r="M33" s="311">
        <v>0</v>
      </c>
      <c r="N33" s="355"/>
    </row>
    <row r="34" spans="1:14">
      <c r="A34" s="264" t="s">
        <v>315</v>
      </c>
      <c r="B34" s="36"/>
      <c r="C34" s="44">
        <v>253</v>
      </c>
      <c r="D34" s="264"/>
      <c r="E34" s="263">
        <v>0</v>
      </c>
      <c r="F34" s="357">
        <f t="shared" si="3"/>
        <v>0</v>
      </c>
      <c r="G34" s="310">
        <v>0</v>
      </c>
      <c r="H34" s="310">
        <v>0</v>
      </c>
      <c r="I34" s="310">
        <v>0</v>
      </c>
      <c r="J34" s="310">
        <v>0</v>
      </c>
      <c r="K34" s="310">
        <v>0</v>
      </c>
      <c r="L34" s="310">
        <v>0</v>
      </c>
      <c r="M34" s="311">
        <v>0</v>
      </c>
      <c r="N34" s="355"/>
    </row>
    <row r="35" spans="1:14">
      <c r="A35" s="264" t="s">
        <v>316</v>
      </c>
      <c r="B35" s="36"/>
      <c r="C35" s="44">
        <v>255</v>
      </c>
      <c r="D35" s="264"/>
      <c r="E35" s="263">
        <v>0</v>
      </c>
      <c r="F35" s="357">
        <f t="shared" si="3"/>
        <v>0</v>
      </c>
      <c r="G35" s="310">
        <v>0</v>
      </c>
      <c r="H35" s="310">
        <v>0</v>
      </c>
      <c r="I35" s="310">
        <v>0</v>
      </c>
      <c r="J35" s="310">
        <v>0</v>
      </c>
      <c r="K35" s="310">
        <v>0</v>
      </c>
      <c r="L35" s="310">
        <v>0</v>
      </c>
      <c r="M35" s="311">
        <v>0</v>
      </c>
      <c r="N35" s="355"/>
    </row>
    <row r="36" spans="1:14">
      <c r="A36" s="264" t="s">
        <v>317</v>
      </c>
      <c r="B36" s="36"/>
      <c r="C36" s="44">
        <v>256</v>
      </c>
      <c r="D36" s="264"/>
      <c r="E36" s="263">
        <v>0</v>
      </c>
      <c r="F36" s="309">
        <f t="shared" si="3"/>
        <v>0</v>
      </c>
      <c r="G36" s="310">
        <v>0</v>
      </c>
      <c r="H36" s="310">
        <v>0</v>
      </c>
      <c r="I36" s="310">
        <v>0</v>
      </c>
      <c r="J36" s="310">
        <v>0</v>
      </c>
      <c r="K36" s="310">
        <v>0</v>
      </c>
      <c r="L36" s="310">
        <v>0</v>
      </c>
      <c r="M36" s="311">
        <v>0</v>
      </c>
      <c r="N36" s="355"/>
    </row>
    <row r="37" spans="1:14">
      <c r="A37" s="264" t="s">
        <v>318</v>
      </c>
      <c r="B37" s="36"/>
      <c r="C37" s="44">
        <v>257</v>
      </c>
      <c r="D37" s="264"/>
      <c r="E37" s="263">
        <v>0</v>
      </c>
      <c r="F37" s="309">
        <f t="shared" si="3"/>
        <v>0</v>
      </c>
      <c r="G37" s="310">
        <v>0</v>
      </c>
      <c r="H37" s="310">
        <v>0</v>
      </c>
      <c r="I37" s="310">
        <v>0</v>
      </c>
      <c r="J37" s="310">
        <v>0</v>
      </c>
      <c r="K37" s="310">
        <v>0</v>
      </c>
      <c r="L37" s="310">
        <v>0</v>
      </c>
      <c r="M37" s="311">
        <v>0</v>
      </c>
      <c r="N37" s="355"/>
    </row>
    <row r="38" spans="1:14">
      <c r="A38" s="264" t="s">
        <v>319</v>
      </c>
      <c r="B38" s="36"/>
      <c r="C38" s="44" t="s">
        <v>320</v>
      </c>
      <c r="D38" s="264"/>
      <c r="E38" s="263">
        <v>0</v>
      </c>
      <c r="F38" s="309">
        <f t="shared" si="3"/>
        <v>0</v>
      </c>
      <c r="G38" s="310">
        <v>0</v>
      </c>
      <c r="H38" s="310">
        <v>0</v>
      </c>
      <c r="I38" s="310">
        <v>0</v>
      </c>
      <c r="J38" s="310">
        <v>0</v>
      </c>
      <c r="K38" s="310">
        <v>0</v>
      </c>
      <c r="L38" s="310">
        <v>0</v>
      </c>
      <c r="M38" s="311">
        <v>0</v>
      </c>
      <c r="N38" s="355"/>
    </row>
    <row r="39" spans="1:14" s="381" customFormat="1">
      <c r="A39" s="265" t="s">
        <v>321</v>
      </c>
      <c r="B39" s="36"/>
      <c r="C39" s="266" t="s">
        <v>322</v>
      </c>
      <c r="D39" s="265"/>
      <c r="E39" s="263">
        <v>0</v>
      </c>
      <c r="F39" s="309">
        <f>SUM(G39:M39)</f>
        <v>0</v>
      </c>
      <c r="G39" s="310">
        <v>0</v>
      </c>
      <c r="H39" s="310">
        <v>0</v>
      </c>
      <c r="I39" s="310">
        <v>0</v>
      </c>
      <c r="J39" s="310">
        <v>0</v>
      </c>
      <c r="K39" s="310">
        <v>0</v>
      </c>
      <c r="L39" s="310">
        <v>0</v>
      </c>
      <c r="M39" s="311">
        <v>0</v>
      </c>
      <c r="N39" s="355"/>
    </row>
    <row r="40" spans="1:14" s="381" customFormat="1">
      <c r="A40" s="632" t="s">
        <v>323</v>
      </c>
      <c r="B40" s="672"/>
      <c r="C40" s="664" t="s">
        <v>324</v>
      </c>
      <c r="D40" s="632"/>
      <c r="E40" s="318">
        <v>0</v>
      </c>
      <c r="F40" s="309">
        <f>SUM(G40:M40)</f>
        <v>0</v>
      </c>
      <c r="G40" s="165">
        <v>0</v>
      </c>
      <c r="H40" s="165">
        <v>0</v>
      </c>
      <c r="I40" s="165">
        <v>0</v>
      </c>
      <c r="J40" s="165">
        <v>0</v>
      </c>
      <c r="K40" s="165">
        <f>-504+468+36</f>
        <v>0</v>
      </c>
      <c r="L40" s="165">
        <v>0</v>
      </c>
      <c r="M40" s="166">
        <v>0</v>
      </c>
      <c r="N40" s="325" t="s">
        <v>1045</v>
      </c>
    </row>
    <row r="41" spans="1:14">
      <c r="A41" s="40" t="s">
        <v>326</v>
      </c>
      <c r="B41" s="265"/>
      <c r="C41" s="266"/>
      <c r="D41" s="267"/>
      <c r="E41" s="42">
        <f t="shared" ref="E41:M41" si="5">SUM(E25:E40)</f>
        <v>350</v>
      </c>
      <c r="F41" s="43">
        <f t="shared" si="5"/>
        <v>1119</v>
      </c>
      <c r="G41" s="43">
        <f t="shared" si="5"/>
        <v>0</v>
      </c>
      <c r="H41" s="43">
        <f t="shared" si="5"/>
        <v>959</v>
      </c>
      <c r="I41" s="43">
        <f t="shared" si="5"/>
        <v>0</v>
      </c>
      <c r="J41" s="43">
        <f t="shared" si="5"/>
        <v>0</v>
      </c>
      <c r="K41" s="43">
        <f t="shared" si="5"/>
        <v>32</v>
      </c>
      <c r="L41" s="43">
        <f t="shared" si="5"/>
        <v>128</v>
      </c>
      <c r="M41" s="43">
        <f t="shared" si="5"/>
        <v>0</v>
      </c>
      <c r="N41" s="355"/>
    </row>
    <row r="42" spans="1:14">
      <c r="A42" s="40" t="s">
        <v>327</v>
      </c>
      <c r="B42" s="51"/>
      <c r="C42" s="149"/>
      <c r="D42" s="267"/>
      <c r="E42" s="42">
        <v>0</v>
      </c>
      <c r="F42" s="240">
        <f>SUM(G42:L42)</f>
        <v>0</v>
      </c>
      <c r="G42" s="240"/>
      <c r="H42" s="240"/>
      <c r="I42" s="240"/>
      <c r="J42" s="240"/>
      <c r="K42" s="240">
        <v>0</v>
      </c>
      <c r="L42" s="240"/>
      <c r="M42" s="240"/>
      <c r="N42" s="325"/>
    </row>
    <row r="43" spans="1:14">
      <c r="A43" s="40" t="s">
        <v>328</v>
      </c>
      <c r="B43" s="46"/>
      <c r="C43" s="47"/>
      <c r="D43" s="48">
        <f>D41+D23+D16</f>
        <v>0</v>
      </c>
      <c r="E43" s="42">
        <f>E41+E23+E16</f>
        <v>350</v>
      </c>
      <c r="F43" s="17">
        <f t="shared" ref="F43:M43" si="6">F41+F23+F16-F42</f>
        <v>1119</v>
      </c>
      <c r="G43" s="17">
        <f t="shared" si="6"/>
        <v>0</v>
      </c>
      <c r="H43" s="17">
        <f t="shared" si="6"/>
        <v>959</v>
      </c>
      <c r="I43" s="17">
        <f t="shared" si="6"/>
        <v>0</v>
      </c>
      <c r="J43" s="17">
        <f t="shared" si="6"/>
        <v>0</v>
      </c>
      <c r="K43" s="17">
        <f t="shared" si="6"/>
        <v>32</v>
      </c>
      <c r="L43" s="17">
        <f t="shared" si="6"/>
        <v>128</v>
      </c>
      <c r="M43" s="17">
        <f t="shared" si="6"/>
        <v>0</v>
      </c>
      <c r="N43" s="353"/>
    </row>
    <row r="45" spans="1:14" s="381" customFormat="1" ht="50.5" customHeight="1">
      <c r="C45" s="687"/>
      <c r="I45" s="565" t="s">
        <v>1356</v>
      </c>
      <c r="J45" s="434" t="s">
        <v>1355</v>
      </c>
      <c r="K45" s="434" t="s">
        <v>359</v>
      </c>
      <c r="L45" s="381" t="s">
        <v>34</v>
      </c>
    </row>
    <row r="46" spans="1:14" s="381" customFormat="1">
      <c r="C46" s="687"/>
      <c r="F46" s="262"/>
      <c r="H46" s="381" t="s">
        <v>32</v>
      </c>
      <c r="I46" s="287">
        <f>(+F43*'Prep%Fuelspercentage.direct'!B38)-377</f>
        <v>307.93989999999997</v>
      </c>
      <c r="J46" s="287">
        <v>271.90429999999992</v>
      </c>
      <c r="K46" s="381">
        <v>350</v>
      </c>
      <c r="L46" s="262">
        <f>+J46-H30</f>
        <v>112.90429999999992</v>
      </c>
    </row>
    <row r="47" spans="1:14" s="381" customFormat="1" ht="17.100000000000001">
      <c r="C47" s="687"/>
      <c r="H47" s="381" t="s">
        <v>33</v>
      </c>
      <c r="I47" s="667">
        <f>(+F43*'Prep%Fuelspercentage.direct'!B39)+377</f>
        <v>811.06010000000003</v>
      </c>
      <c r="J47" s="667">
        <v>811.09570000000008</v>
      </c>
      <c r="K47" s="256">
        <v>0</v>
      </c>
      <c r="L47" s="262">
        <f>+J47-H31+4</f>
        <v>15.095700000000079</v>
      </c>
    </row>
    <row r="48" spans="1:14" s="381" customFormat="1">
      <c r="C48" s="687"/>
      <c r="I48" s="262">
        <f>SUM(I46:I47)</f>
        <v>1119</v>
      </c>
      <c r="J48" s="262">
        <f>SUM(J46:J47)</f>
        <v>1083</v>
      </c>
      <c r="K48" s="381">
        <f>+K46+K47</f>
        <v>350</v>
      </c>
    </row>
    <row r="49" spans="1:14">
      <c r="A49" s="381"/>
      <c r="B49" s="381"/>
      <c r="C49" s="381"/>
      <c r="D49" s="381"/>
      <c r="E49" s="381"/>
      <c r="F49" s="381"/>
      <c r="G49" s="381"/>
      <c r="H49" s="381"/>
      <c r="I49" s="381"/>
      <c r="J49" s="381"/>
      <c r="K49" s="381"/>
      <c r="L49" s="381"/>
      <c r="M49" s="381"/>
      <c r="N49" s="381"/>
    </row>
    <row r="50" spans="1:14" s="381" customFormat="1" ht="15.6" thickBot="1">
      <c r="A50" s="31"/>
      <c r="B50" s="31"/>
      <c r="C50" s="32"/>
      <c r="D50" s="31"/>
      <c r="E50" s="31"/>
      <c r="F50" s="31"/>
      <c r="G50" s="31"/>
      <c r="H50" s="31"/>
      <c r="I50" s="31"/>
      <c r="J50" s="31"/>
      <c r="K50" s="31"/>
      <c r="L50" s="31"/>
      <c r="M50" s="31"/>
      <c r="N50" s="562"/>
    </row>
    <row r="51" spans="1:14" s="381" customFormat="1" ht="15.6">
      <c r="A51" s="764" t="s">
        <v>330</v>
      </c>
      <c r="B51" s="765"/>
      <c r="C51" s="765"/>
      <c r="D51" s="765"/>
      <c r="E51" s="765"/>
      <c r="F51" s="765"/>
      <c r="G51" s="581"/>
      <c r="H51" s="31"/>
      <c r="I51" s="31"/>
      <c r="J51" s="31"/>
      <c r="K51" s="31"/>
      <c r="L51" s="31"/>
      <c r="M51" s="31"/>
      <c r="N51" s="562"/>
    </row>
    <row r="52" spans="1:14" s="381" customFormat="1" ht="15.6">
      <c r="A52" s="738"/>
      <c r="B52" s="739"/>
      <c r="C52" s="739"/>
      <c r="D52" s="739"/>
      <c r="E52" s="739"/>
      <c r="F52" s="739"/>
      <c r="G52" s="582"/>
      <c r="H52" s="31"/>
      <c r="I52" s="31"/>
      <c r="J52" s="31"/>
      <c r="K52" s="31"/>
      <c r="L52" s="31"/>
      <c r="M52" s="31"/>
      <c r="N52" s="562"/>
    </row>
    <row r="53" spans="1:14" s="381" customFormat="1">
      <c r="A53" s="740" t="s">
        <v>331</v>
      </c>
      <c r="B53" s="741"/>
      <c r="C53" s="583"/>
      <c r="D53" s="583"/>
      <c r="E53" s="583"/>
      <c r="F53" s="583"/>
      <c r="G53" s="582"/>
      <c r="H53" s="31"/>
      <c r="I53" s="31"/>
      <c r="J53" s="31"/>
      <c r="K53" s="31"/>
      <c r="L53" s="31"/>
      <c r="M53" s="31"/>
      <c r="N53" s="562"/>
    </row>
    <row r="54" spans="1:14" s="381" customFormat="1">
      <c r="A54" s="584" t="s">
        <v>332</v>
      </c>
      <c r="B54" s="585">
        <f>E43</f>
        <v>350</v>
      </c>
      <c r="C54" s="586"/>
      <c r="D54" s="587"/>
      <c r="E54" s="587"/>
      <c r="F54" s="587"/>
      <c r="G54" s="582"/>
      <c r="H54" s="31"/>
      <c r="I54" s="31"/>
      <c r="J54" s="31"/>
      <c r="K54" s="31"/>
      <c r="L54" s="31"/>
      <c r="M54" s="31"/>
      <c r="N54" s="562"/>
    </row>
    <row r="55" spans="1:14" s="381" customFormat="1">
      <c r="A55" s="588" t="s">
        <v>333</v>
      </c>
      <c r="B55" s="589">
        <f>F43</f>
        <v>1119</v>
      </c>
      <c r="C55" s="586"/>
      <c r="D55" s="587"/>
      <c r="E55" s="587"/>
      <c r="F55" s="587"/>
      <c r="G55" s="582"/>
      <c r="H55" s="31"/>
      <c r="I55" s="31"/>
      <c r="J55" s="31"/>
      <c r="K55" s="31"/>
      <c r="L55" s="31"/>
      <c r="M55" s="31"/>
      <c r="N55" s="562"/>
    </row>
    <row r="56" spans="1:14" s="381" customFormat="1">
      <c r="A56" s="590" t="s">
        <v>334</v>
      </c>
      <c r="B56" s="591">
        <f>B55-B54</f>
        <v>769</v>
      </c>
      <c r="C56" s="586"/>
      <c r="D56" s="587"/>
      <c r="E56" s="587"/>
      <c r="F56" s="587"/>
      <c r="G56" s="582"/>
      <c r="H56" s="31"/>
      <c r="I56" s="31"/>
      <c r="J56" s="31"/>
      <c r="K56" s="31"/>
      <c r="L56" s="31"/>
      <c r="M56" s="31"/>
      <c r="N56" s="562"/>
    </row>
    <row r="57" spans="1:14" s="381" customFormat="1">
      <c r="A57" s="590" t="s">
        <v>335</v>
      </c>
      <c r="B57" s="592">
        <f>B56/B54</f>
        <v>2.1971428571428571</v>
      </c>
      <c r="C57" s="586"/>
      <c r="D57" s="587"/>
      <c r="E57" s="587"/>
      <c r="F57" s="587"/>
      <c r="G57" s="582"/>
      <c r="H57" s="31"/>
      <c r="I57" s="31"/>
      <c r="J57" s="31"/>
      <c r="K57" s="31"/>
      <c r="L57" s="31"/>
      <c r="M57" s="31"/>
      <c r="N57" s="562"/>
    </row>
    <row r="58" spans="1:14" s="381" customFormat="1">
      <c r="A58" s="593"/>
      <c r="B58" s="587"/>
      <c r="C58" s="686"/>
      <c r="D58" s="587"/>
      <c r="E58" s="587"/>
      <c r="F58" s="587"/>
      <c r="G58" s="582"/>
      <c r="H58" s="31"/>
      <c r="I58" s="31"/>
      <c r="J58" s="31"/>
      <c r="K58" s="31"/>
      <c r="L58" s="31"/>
      <c r="M58" s="31"/>
      <c r="N58" s="562"/>
    </row>
    <row r="59" spans="1:14" s="381" customFormat="1">
      <c r="A59" s="731" t="s">
        <v>336</v>
      </c>
      <c r="B59" s="732"/>
      <c r="C59" s="732"/>
      <c r="D59" s="732"/>
      <c r="E59" s="732"/>
      <c r="F59" s="732"/>
      <c r="G59" s="582"/>
      <c r="H59" s="31"/>
      <c r="I59" s="31"/>
      <c r="J59" s="31"/>
      <c r="K59" s="31"/>
      <c r="L59" s="31"/>
      <c r="M59" s="31"/>
      <c r="N59" s="562"/>
    </row>
    <row r="60" spans="1:14" s="381" customFormat="1" ht="28.2" customHeight="1">
      <c r="A60" s="866" t="s">
        <v>1046</v>
      </c>
      <c r="B60" s="867"/>
      <c r="C60" s="867"/>
      <c r="D60" s="867"/>
      <c r="E60" s="867"/>
      <c r="F60" s="868"/>
      <c r="G60" s="582"/>
      <c r="H60" s="31"/>
      <c r="I60" s="31"/>
      <c r="J60" s="31"/>
      <c r="K60" s="31"/>
      <c r="L60" s="31"/>
      <c r="M60" s="31"/>
      <c r="N60" s="562"/>
    </row>
    <row r="61" spans="1:14" s="381" customFormat="1">
      <c r="A61" s="594"/>
      <c r="B61" s="595"/>
      <c r="C61" s="595"/>
      <c r="D61" s="595"/>
      <c r="E61" s="595"/>
      <c r="F61" s="595"/>
      <c r="G61" s="582"/>
      <c r="H61" s="31"/>
      <c r="I61" s="31"/>
      <c r="J61" s="31"/>
      <c r="K61" s="31"/>
      <c r="L61" s="31"/>
      <c r="M61" s="31"/>
      <c r="N61" s="562"/>
    </row>
    <row r="62" spans="1:14" s="381" customFormat="1">
      <c r="A62" s="596" t="s">
        <v>337</v>
      </c>
      <c r="B62" s="587"/>
      <c r="C62" s="686"/>
      <c r="D62" s="587"/>
      <c r="E62" s="587"/>
      <c r="F62" s="587"/>
      <c r="G62" s="582"/>
      <c r="H62" s="31"/>
      <c r="I62" s="31"/>
      <c r="J62" s="31"/>
      <c r="K62" s="31"/>
      <c r="L62" s="31"/>
      <c r="M62" s="31"/>
      <c r="N62" s="562"/>
    </row>
    <row r="63" spans="1:14" s="381" customFormat="1">
      <c r="A63" s="735"/>
      <c r="B63" s="736"/>
      <c r="C63" s="736"/>
      <c r="D63" s="736"/>
      <c r="E63" s="736"/>
      <c r="F63" s="737"/>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731" t="s">
        <v>338</v>
      </c>
      <c r="B65" s="732"/>
      <c r="C65" s="732"/>
      <c r="D65" s="732"/>
      <c r="E65" s="732"/>
      <c r="F65" s="732"/>
      <c r="G65" s="582"/>
      <c r="H65" s="31"/>
      <c r="I65" s="31"/>
      <c r="J65" s="31"/>
      <c r="K65" s="31"/>
      <c r="L65" s="31"/>
      <c r="M65" s="31"/>
      <c r="N65" s="562"/>
    </row>
    <row r="66" spans="1:14" s="381" customFormat="1">
      <c r="A66" s="733" t="s">
        <v>339</v>
      </c>
      <c r="B66" s="734"/>
      <c r="C66" s="734"/>
      <c r="D66" s="734"/>
      <c r="E66" s="734"/>
      <c r="F66" s="734"/>
      <c r="G66" s="582"/>
      <c r="H66" s="31"/>
      <c r="I66" s="31"/>
      <c r="J66" s="31"/>
      <c r="K66" s="31"/>
      <c r="L66" s="31"/>
      <c r="M66" s="31"/>
      <c r="N66" s="562"/>
    </row>
    <row r="67" spans="1:14" s="381" customFormat="1">
      <c r="A67" s="735"/>
      <c r="B67" s="736"/>
      <c r="C67" s="736"/>
      <c r="D67" s="736"/>
      <c r="E67" s="736"/>
      <c r="F67" s="737"/>
      <c r="G67" s="582"/>
      <c r="H67" s="31"/>
      <c r="I67" s="31"/>
      <c r="J67" s="31"/>
      <c r="K67" s="31"/>
      <c r="L67" s="31"/>
      <c r="M67" s="31"/>
      <c r="N67" s="562"/>
    </row>
    <row r="68" spans="1:14" s="381" customFormat="1">
      <c r="A68" s="596"/>
      <c r="B68" s="587"/>
      <c r="C68" s="686"/>
      <c r="D68" s="587"/>
      <c r="E68" s="587"/>
      <c r="F68" s="587"/>
      <c r="G68" s="582"/>
      <c r="H68" s="31"/>
      <c r="I68" s="31"/>
      <c r="J68" s="31"/>
      <c r="K68" s="31"/>
      <c r="L68" s="31"/>
      <c r="M68" s="31"/>
      <c r="N68" s="562"/>
    </row>
    <row r="69" spans="1:14" s="381" customFormat="1">
      <c r="A69" s="731" t="s">
        <v>340</v>
      </c>
      <c r="B69" s="732"/>
      <c r="C69" s="732"/>
      <c r="D69" s="732"/>
      <c r="E69" s="732"/>
      <c r="F69" s="587"/>
      <c r="G69" s="582"/>
      <c r="H69" s="31"/>
      <c r="I69" s="31"/>
      <c r="J69" s="31"/>
      <c r="K69" s="31"/>
      <c r="L69" s="31"/>
      <c r="M69" s="31"/>
      <c r="N69" s="562"/>
    </row>
    <row r="70" spans="1:14" s="381" customFormat="1">
      <c r="A70" s="728"/>
      <c r="B70" s="729"/>
      <c r="C70" s="729"/>
      <c r="D70" s="729"/>
      <c r="E70" s="729"/>
      <c r="F70" s="730"/>
      <c r="G70" s="582"/>
      <c r="H70" s="31"/>
      <c r="I70" s="31"/>
      <c r="J70" s="31"/>
      <c r="K70" s="31"/>
      <c r="L70" s="31"/>
      <c r="M70" s="31"/>
      <c r="N70" s="562"/>
    </row>
    <row r="71" spans="1:14" s="381" customFormat="1">
      <c r="A71" s="593"/>
      <c r="B71" s="587"/>
      <c r="C71" s="686"/>
      <c r="D71" s="587"/>
      <c r="E71" s="587"/>
      <c r="F71" s="587"/>
      <c r="G71" s="582"/>
      <c r="H71" s="31"/>
      <c r="I71" s="31"/>
      <c r="J71" s="31"/>
      <c r="K71" s="31"/>
      <c r="L71" s="31"/>
      <c r="M71" s="31"/>
      <c r="N71" s="562"/>
    </row>
    <row r="72" spans="1:14" s="381" customFormat="1">
      <c r="A72" s="596" t="s">
        <v>341</v>
      </c>
      <c r="B72" s="587"/>
      <c r="C72" s="686"/>
      <c r="D72" s="587"/>
      <c r="E72" s="587"/>
      <c r="F72" s="587"/>
      <c r="G72" s="582"/>
      <c r="H72" s="31"/>
      <c r="I72" s="31"/>
      <c r="J72" s="31"/>
      <c r="K72" s="31"/>
      <c r="L72" s="31"/>
      <c r="M72" s="31"/>
      <c r="N72" s="562"/>
    </row>
    <row r="73" spans="1:14" s="381" customFormat="1">
      <c r="A73" s="597" t="s">
        <v>342</v>
      </c>
      <c r="B73" s="587"/>
      <c r="C73" s="686"/>
      <c r="D73" s="587"/>
      <c r="E73" s="587"/>
      <c r="F73" s="587"/>
      <c r="G73" s="582"/>
      <c r="H73" s="31"/>
      <c r="I73" s="31"/>
      <c r="J73" s="31"/>
      <c r="K73" s="31"/>
      <c r="L73" s="31"/>
      <c r="M73" s="31"/>
      <c r="N73" s="562"/>
    </row>
    <row r="74" spans="1:14" s="381" customFormat="1" ht="26.2" customHeight="1">
      <c r="A74" s="719" t="s">
        <v>343</v>
      </c>
      <c r="B74" s="720"/>
      <c r="C74" s="720"/>
      <c r="D74" s="720"/>
      <c r="E74" s="720"/>
      <c r="F74" s="720"/>
      <c r="G74" s="582"/>
      <c r="H74" s="31"/>
      <c r="I74" s="31"/>
      <c r="J74" s="31"/>
      <c r="K74" s="31"/>
      <c r="L74" s="31"/>
      <c r="M74" s="31"/>
      <c r="N74" s="562"/>
    </row>
    <row r="75" spans="1:14" s="381" customFormat="1">
      <c r="A75" s="721"/>
      <c r="B75" s="722"/>
      <c r="C75" s="722"/>
      <c r="D75" s="722"/>
      <c r="E75" s="722"/>
      <c r="F75" s="723"/>
      <c r="G75" s="582"/>
      <c r="H75" s="31"/>
      <c r="I75" s="31"/>
      <c r="J75" s="31"/>
      <c r="K75" s="31"/>
      <c r="L75" s="31"/>
      <c r="M75" s="31"/>
      <c r="N75" s="562"/>
    </row>
    <row r="76" spans="1:14" s="381" customFormat="1">
      <c r="A76" s="724"/>
      <c r="B76" s="725"/>
      <c r="C76" s="725"/>
      <c r="D76" s="725"/>
      <c r="E76" s="725"/>
      <c r="F76" s="725"/>
      <c r="G76" s="582"/>
      <c r="H76" s="31"/>
      <c r="I76" s="31"/>
      <c r="J76" s="31"/>
      <c r="K76" s="31"/>
      <c r="L76" s="31"/>
      <c r="M76" s="31"/>
      <c r="N76" s="562"/>
    </row>
    <row r="77" spans="1:14" s="381" customFormat="1">
      <c r="A77" s="597" t="s">
        <v>344</v>
      </c>
      <c r="B77" s="587"/>
      <c r="C77" s="686"/>
      <c r="D77" s="587"/>
      <c r="E77" s="587"/>
      <c r="F77" s="587"/>
      <c r="G77" s="582"/>
      <c r="H77" s="31"/>
      <c r="I77" s="31"/>
      <c r="J77" s="31"/>
      <c r="K77" s="31"/>
      <c r="L77" s="31"/>
      <c r="M77" s="31"/>
      <c r="N77" s="562"/>
    </row>
    <row r="78" spans="1:14" s="381" customFormat="1" ht="28.8" customHeight="1">
      <c r="A78" s="726" t="s">
        <v>345</v>
      </c>
      <c r="B78" s="727"/>
      <c r="C78" s="727"/>
      <c r="D78" s="727"/>
      <c r="E78" s="727"/>
      <c r="F78" s="727"/>
      <c r="G78" s="582"/>
      <c r="H78" s="31"/>
      <c r="I78" s="31"/>
      <c r="J78" s="31"/>
      <c r="K78" s="31"/>
      <c r="L78" s="31"/>
      <c r="M78" s="31"/>
      <c r="N78" s="562"/>
    </row>
    <row r="79" spans="1:14" s="381" customFormat="1">
      <c r="A79" s="728"/>
      <c r="B79" s="729"/>
      <c r="C79" s="729"/>
      <c r="D79" s="729"/>
      <c r="E79" s="729"/>
      <c r="F79" s="730"/>
      <c r="G79" s="582"/>
      <c r="H79" s="31"/>
      <c r="I79" s="31"/>
      <c r="J79" s="31"/>
      <c r="K79" s="31"/>
      <c r="L79" s="31"/>
      <c r="M79" s="31"/>
      <c r="N79" s="562"/>
    </row>
    <row r="80" spans="1:14" s="381" customFormat="1" ht="15.6" thickBot="1">
      <c r="A80" s="598"/>
      <c r="B80" s="599"/>
      <c r="C80" s="600"/>
      <c r="D80" s="599"/>
      <c r="E80" s="599"/>
      <c r="F80" s="599"/>
      <c r="G80" s="601"/>
      <c r="H80" s="31"/>
      <c r="I80" s="31"/>
      <c r="J80" s="31"/>
      <c r="K80" s="31"/>
      <c r="L80" s="31"/>
      <c r="M80" s="31"/>
      <c r="N80" s="562"/>
    </row>
    <row r="81" spans="1:14" s="381" customFormat="1">
      <c r="A81" s="31"/>
      <c r="B81" s="31"/>
      <c r="C81" s="32"/>
      <c r="D81" s="31"/>
      <c r="E81" s="31"/>
      <c r="F81" s="31"/>
      <c r="G81" s="31"/>
      <c r="H81" s="31"/>
      <c r="I81" s="31"/>
      <c r="J81" s="31"/>
      <c r="K81" s="31"/>
      <c r="L81" s="31"/>
      <c r="M81" s="31"/>
      <c r="N81" s="562"/>
    </row>
  </sheetData>
  <mergeCells count="17">
    <mergeCell ref="A1:N1"/>
    <mergeCell ref="A51:F51"/>
    <mergeCell ref="A52:F52"/>
    <mergeCell ref="A53:B53"/>
    <mergeCell ref="A59:F59"/>
    <mergeCell ref="A60:F60"/>
    <mergeCell ref="A63:F63"/>
    <mergeCell ref="A65:F65"/>
    <mergeCell ref="A66:F66"/>
    <mergeCell ref="A67:F67"/>
    <mergeCell ref="A78:F78"/>
    <mergeCell ref="A79:F79"/>
    <mergeCell ref="A69:E69"/>
    <mergeCell ref="A70:F70"/>
    <mergeCell ref="A74:F74"/>
    <mergeCell ref="A75:F75"/>
    <mergeCell ref="A76:F76"/>
  </mergeCells>
  <printOptions horizontalCentered="1"/>
  <pageMargins left="0.2" right="0.2" top="0.75" bottom="0.75" header="0.3" footer="0.3"/>
  <pageSetup scale="61" orientation="landscape" r:id="rId1"/>
  <headerFooter>
    <oddHeader xml:space="preserve">&amp;CDRAFT NOT FOR DISTRIBUTION, INTERNAL USE ONLY
</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0.249977111117893"/>
    <pageSetUpPr fitToPage="1"/>
  </sheetPr>
  <dimension ref="A1:N84"/>
  <sheetViews>
    <sheetView zoomScaleNormal="100" workbookViewId="0">
      <selection sqref="A1:N1"/>
    </sheetView>
  </sheetViews>
  <sheetFormatPr defaultRowHeight="14.85"/>
  <cols>
    <col min="1" max="1" width="46.5703125" customWidth="1"/>
    <col min="2" max="2" width="16" customWidth="1"/>
    <col min="3" max="3" width="7.7109375" style="30" customWidth="1"/>
    <col min="4" max="4" width="8.7109375" customWidth="1"/>
    <col min="5" max="5" width="10.7109375" customWidth="1"/>
    <col min="6" max="6" width="11.42578125"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40" customWidth="1"/>
  </cols>
  <sheetData>
    <row r="1" spans="1:14" ht="15.6">
      <c r="A1" s="745" t="s">
        <v>346</v>
      </c>
      <c r="B1" s="745"/>
      <c r="C1" s="745"/>
      <c r="D1" s="745"/>
      <c r="E1" s="745"/>
      <c r="F1" s="745"/>
      <c r="G1" s="745"/>
      <c r="H1" s="745"/>
      <c r="I1" s="745"/>
      <c r="J1" s="745"/>
      <c r="K1" s="745"/>
      <c r="L1" s="745"/>
      <c r="M1" s="745"/>
      <c r="N1" s="745"/>
    </row>
    <row r="2" spans="1:14">
      <c r="A2" s="65" t="s">
        <v>1047</v>
      </c>
      <c r="B2" s="66"/>
      <c r="C2" s="67"/>
      <c r="D2" s="29"/>
      <c r="E2" s="381"/>
      <c r="F2" s="381"/>
      <c r="G2" s="381"/>
      <c r="H2" s="381"/>
      <c r="I2" s="381"/>
      <c r="J2" s="381"/>
      <c r="K2" s="381"/>
      <c r="L2" s="381"/>
      <c r="M2" s="381"/>
      <c r="N2" s="381"/>
    </row>
    <row r="3" spans="1:14">
      <c r="A3" s="68" t="s">
        <v>1048</v>
      </c>
      <c r="B3" s="381"/>
      <c r="C3" s="687"/>
      <c r="D3" s="381"/>
      <c r="E3" s="381"/>
      <c r="F3" s="554" t="s">
        <v>275</v>
      </c>
      <c r="G3" s="381"/>
      <c r="H3" s="381"/>
      <c r="I3" s="381"/>
      <c r="J3" s="381"/>
      <c r="K3" s="381"/>
      <c r="L3" s="381"/>
      <c r="M3" s="381"/>
      <c r="N3" s="381"/>
    </row>
    <row r="4" spans="1:14">
      <c r="A4" s="68" t="s">
        <v>1049</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29.7">
      <c r="A7" s="36" t="s">
        <v>1050</v>
      </c>
      <c r="B7" s="36" t="s">
        <v>1051</v>
      </c>
      <c r="C7" s="37" t="s">
        <v>287</v>
      </c>
      <c r="D7" s="38">
        <v>1</v>
      </c>
      <c r="E7" s="263">
        <v>160</v>
      </c>
      <c r="F7" s="309">
        <f t="shared" ref="F7:F12" si="0">SUM(G7:M7)</f>
        <v>165</v>
      </c>
      <c r="G7" s="310">
        <v>0</v>
      </c>
      <c r="H7" s="310">
        <v>165</v>
      </c>
      <c r="I7" s="310">
        <v>0</v>
      </c>
      <c r="J7" s="310">
        <v>0</v>
      </c>
      <c r="K7" s="310">
        <v>0</v>
      </c>
      <c r="L7" s="310">
        <v>0</v>
      </c>
      <c r="M7" s="311">
        <v>0</v>
      </c>
      <c r="N7" s="325" t="s">
        <v>1052</v>
      </c>
    </row>
    <row r="8" spans="1:14" ht="15.05" customHeight="1">
      <c r="A8" s="36" t="s">
        <v>1053</v>
      </c>
      <c r="B8" s="36" t="s">
        <v>590</v>
      </c>
      <c r="C8" s="37" t="s">
        <v>287</v>
      </c>
      <c r="D8" s="39">
        <v>1</v>
      </c>
      <c r="E8" s="263">
        <v>144</v>
      </c>
      <c r="F8" s="309">
        <f t="shared" si="0"/>
        <v>0</v>
      </c>
      <c r="G8" s="310">
        <v>0</v>
      </c>
      <c r="H8" s="310">
        <v>0</v>
      </c>
      <c r="I8" s="310">
        <v>0</v>
      </c>
      <c r="J8" s="310">
        <v>0</v>
      </c>
      <c r="K8" s="310">
        <v>0</v>
      </c>
      <c r="L8" s="310">
        <v>0</v>
      </c>
      <c r="M8" s="311">
        <v>0</v>
      </c>
      <c r="N8" s="355" t="s">
        <v>1054</v>
      </c>
    </row>
    <row r="9" spans="1:14" ht="15.05" customHeight="1">
      <c r="A9" s="36" t="s">
        <v>1055</v>
      </c>
      <c r="B9" s="264" t="s">
        <v>1056</v>
      </c>
      <c r="C9" s="37" t="s">
        <v>287</v>
      </c>
      <c r="D9" s="39">
        <v>1</v>
      </c>
      <c r="E9" s="263">
        <v>116</v>
      </c>
      <c r="F9" s="309">
        <f t="shared" si="0"/>
        <v>119</v>
      </c>
      <c r="G9" s="310">
        <v>0</v>
      </c>
      <c r="H9" s="310">
        <v>119</v>
      </c>
      <c r="I9" s="310">
        <v>0</v>
      </c>
      <c r="J9" s="310">
        <v>0</v>
      </c>
      <c r="K9" s="310">
        <v>0</v>
      </c>
      <c r="L9" s="310">
        <v>0</v>
      </c>
      <c r="M9" s="311">
        <v>0</v>
      </c>
      <c r="N9" s="355"/>
    </row>
    <row r="10" spans="1:14" ht="15.05" customHeight="1">
      <c r="A10" s="36" t="s">
        <v>1057</v>
      </c>
      <c r="B10" s="264" t="s">
        <v>1058</v>
      </c>
      <c r="C10" s="37" t="s">
        <v>287</v>
      </c>
      <c r="D10" s="39">
        <v>1</v>
      </c>
      <c r="E10" s="263">
        <v>133</v>
      </c>
      <c r="F10" s="309">
        <f t="shared" si="0"/>
        <v>137</v>
      </c>
      <c r="G10" s="310">
        <v>0</v>
      </c>
      <c r="H10" s="310">
        <v>137</v>
      </c>
      <c r="I10" s="310">
        <v>0</v>
      </c>
      <c r="J10" s="310">
        <v>0</v>
      </c>
      <c r="K10" s="310">
        <v>0</v>
      </c>
      <c r="L10" s="310">
        <v>0</v>
      </c>
      <c r="M10" s="311">
        <v>0</v>
      </c>
      <c r="N10" s="355"/>
    </row>
    <row r="11" spans="1:14" ht="15.05" customHeight="1">
      <c r="A11" s="36" t="s">
        <v>1059</v>
      </c>
      <c r="B11" s="265" t="s">
        <v>1060</v>
      </c>
      <c r="C11" s="37" t="s">
        <v>287</v>
      </c>
      <c r="D11" s="39">
        <v>1</v>
      </c>
      <c r="E11" s="263">
        <v>165</v>
      </c>
      <c r="F11" s="309">
        <f t="shared" si="0"/>
        <v>170</v>
      </c>
      <c r="G11" s="310">
        <v>0</v>
      </c>
      <c r="H11" s="310">
        <v>170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418"/>
    </row>
    <row r="13" spans="1:14">
      <c r="A13" s="36" t="s">
        <v>286</v>
      </c>
      <c r="B13" s="264"/>
      <c r="C13" s="37" t="s">
        <v>287</v>
      </c>
      <c r="D13" s="39"/>
      <c r="E13" s="263">
        <v>0</v>
      </c>
      <c r="F13" s="309">
        <f>SUM(G13:M13)</f>
        <v>0</v>
      </c>
      <c r="G13" s="310">
        <v>0</v>
      </c>
      <c r="H13" s="310">
        <v>0</v>
      </c>
      <c r="I13" s="310">
        <v>0</v>
      </c>
      <c r="J13" s="310">
        <v>0</v>
      </c>
      <c r="K13" s="310">
        <v>0</v>
      </c>
      <c r="L13" s="310">
        <v>0</v>
      </c>
      <c r="M13" s="311">
        <v>0</v>
      </c>
      <c r="N13" s="355"/>
    </row>
    <row r="14" spans="1:14">
      <c r="A14" s="36" t="s">
        <v>286</v>
      </c>
      <c r="B14" s="264"/>
      <c r="C14" s="37" t="s">
        <v>287</v>
      </c>
      <c r="D14" s="39"/>
      <c r="E14" s="263">
        <v>0</v>
      </c>
      <c r="F14" s="309">
        <f>SUM(G14:M14)</f>
        <v>0</v>
      </c>
      <c r="G14" s="310">
        <v>0</v>
      </c>
      <c r="H14" s="310">
        <v>0</v>
      </c>
      <c r="I14" s="310">
        <v>0</v>
      </c>
      <c r="J14" s="310">
        <v>0</v>
      </c>
      <c r="K14" s="310">
        <v>0</v>
      </c>
      <c r="L14" s="310">
        <v>0</v>
      </c>
      <c r="M14" s="311">
        <v>0</v>
      </c>
      <c r="N14" s="355"/>
    </row>
    <row r="15" spans="1:14">
      <c r="A15" s="36" t="s">
        <v>286</v>
      </c>
      <c r="B15" s="265"/>
      <c r="C15" s="37" t="s">
        <v>287</v>
      </c>
      <c r="D15" s="39"/>
      <c r="E15" s="263">
        <v>0</v>
      </c>
      <c r="F15" s="309">
        <f>SUM(G15:M15)</f>
        <v>0</v>
      </c>
      <c r="G15" s="310">
        <v>0</v>
      </c>
      <c r="H15" s="310"/>
      <c r="I15" s="310">
        <v>0</v>
      </c>
      <c r="J15" s="310">
        <v>0</v>
      </c>
      <c r="K15" s="310">
        <v>0</v>
      </c>
      <c r="L15" s="310">
        <v>0</v>
      </c>
      <c r="M15" s="311">
        <v>0</v>
      </c>
      <c r="N15" s="355"/>
    </row>
    <row r="16" spans="1:14">
      <c r="A16" s="40" t="s">
        <v>288</v>
      </c>
      <c r="B16" s="265"/>
      <c r="C16" s="266"/>
      <c r="D16" s="41">
        <f t="shared" ref="D16:M16" si="1">SUM(D7:D15)</f>
        <v>5</v>
      </c>
      <c r="E16" s="43">
        <f t="shared" si="1"/>
        <v>718</v>
      </c>
      <c r="F16" s="43">
        <f t="shared" si="1"/>
        <v>591</v>
      </c>
      <c r="G16" s="43">
        <f t="shared" si="1"/>
        <v>0</v>
      </c>
      <c r="H16" s="43">
        <f t="shared" si="1"/>
        <v>591</v>
      </c>
      <c r="I16" s="43">
        <f t="shared" si="1"/>
        <v>0</v>
      </c>
      <c r="J16" s="43">
        <f t="shared" si="1"/>
        <v>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s="381" customFormat="1">
      <c r="A18" s="264" t="s">
        <v>355</v>
      </c>
      <c r="B18" s="264"/>
      <c r="C18" s="44">
        <v>253</v>
      </c>
      <c r="D18" s="45"/>
      <c r="E18" s="263">
        <v>96</v>
      </c>
      <c r="F18" s="357">
        <f>SUM(G18:L18)</f>
        <v>138</v>
      </c>
      <c r="G18" s="310">
        <v>0</v>
      </c>
      <c r="H18" s="310">
        <v>138</v>
      </c>
      <c r="I18" s="310">
        <v>0</v>
      </c>
      <c r="J18" s="310">
        <v>0</v>
      </c>
      <c r="K18" s="310">
        <v>0</v>
      </c>
      <c r="L18" s="310">
        <v>0</v>
      </c>
      <c r="M18" s="311">
        <v>0</v>
      </c>
      <c r="N18" s="327" t="s">
        <v>1061</v>
      </c>
    </row>
    <row r="19" spans="1:14" s="381" customFormat="1">
      <c r="A19" s="264" t="s">
        <v>355</v>
      </c>
      <c r="B19" s="264"/>
      <c r="C19" s="44">
        <v>253</v>
      </c>
      <c r="D19" s="45"/>
      <c r="E19" s="263">
        <v>126</v>
      </c>
      <c r="F19" s="357">
        <f>SUM(G19:L19)</f>
        <v>78</v>
      </c>
      <c r="G19" s="310">
        <v>0</v>
      </c>
      <c r="H19" s="310">
        <v>78</v>
      </c>
      <c r="I19" s="310">
        <v>0</v>
      </c>
      <c r="J19" s="310">
        <v>0</v>
      </c>
      <c r="K19" s="310">
        <v>0</v>
      </c>
      <c r="L19" s="310">
        <v>0</v>
      </c>
      <c r="M19" s="311">
        <v>0</v>
      </c>
      <c r="N19" s="326" t="s">
        <v>1062</v>
      </c>
    </row>
    <row r="20" spans="1:14">
      <c r="A20" s="264" t="s">
        <v>355</v>
      </c>
      <c r="B20" s="264"/>
      <c r="C20" s="44">
        <v>253</v>
      </c>
      <c r="D20" s="267"/>
      <c r="E20" s="263">
        <v>0</v>
      </c>
      <c r="F20" s="357">
        <f>SUM(G20:L20)</f>
        <v>85</v>
      </c>
      <c r="G20" s="310">
        <v>0</v>
      </c>
      <c r="H20" s="310">
        <v>85</v>
      </c>
      <c r="I20" s="310">
        <v>0</v>
      </c>
      <c r="J20" s="310">
        <v>0</v>
      </c>
      <c r="K20" s="310">
        <v>0</v>
      </c>
      <c r="L20" s="310">
        <v>0</v>
      </c>
      <c r="M20" s="311">
        <v>0</v>
      </c>
      <c r="N20" s="355" t="s">
        <v>1063</v>
      </c>
    </row>
    <row r="21" spans="1:14" s="7" customFormat="1">
      <c r="A21" s="264" t="s">
        <v>411</v>
      </c>
      <c r="B21" s="264"/>
      <c r="C21" s="44">
        <v>253</v>
      </c>
      <c r="D21" s="267"/>
      <c r="E21" s="263">
        <v>0</v>
      </c>
      <c r="F21" s="357">
        <v>0</v>
      </c>
      <c r="G21" s="310">
        <v>0</v>
      </c>
      <c r="H21" s="310">
        <v>0</v>
      </c>
      <c r="I21" s="310">
        <v>0</v>
      </c>
      <c r="J21" s="310">
        <v>0</v>
      </c>
      <c r="K21" s="310">
        <v>0</v>
      </c>
      <c r="L21" s="310">
        <v>0</v>
      </c>
      <c r="M21" s="311">
        <v>0</v>
      </c>
      <c r="N21" s="326"/>
    </row>
    <row r="22" spans="1:14">
      <c r="A22" s="40" t="s">
        <v>294</v>
      </c>
      <c r="B22" s="265"/>
      <c r="C22" s="266"/>
      <c r="D22" s="267">
        <f>SUM(D18:D21)</f>
        <v>0</v>
      </c>
      <c r="E22" s="42">
        <f>SUM(E18:E21)</f>
        <v>222</v>
      </c>
      <c r="F22" s="43">
        <f>SUM(F18:F21)</f>
        <v>301</v>
      </c>
      <c r="G22" s="43">
        <f t="shared" ref="G22:M22" si="2">SUM(G18:G21)</f>
        <v>0</v>
      </c>
      <c r="H22" s="43">
        <f t="shared" si="2"/>
        <v>301</v>
      </c>
      <c r="I22" s="43">
        <f t="shared" si="2"/>
        <v>0</v>
      </c>
      <c r="J22" s="43">
        <f t="shared" si="2"/>
        <v>0</v>
      </c>
      <c r="K22" s="43">
        <f t="shared" si="2"/>
        <v>0</v>
      </c>
      <c r="L22" s="43">
        <f t="shared" si="2"/>
        <v>0</v>
      </c>
      <c r="M22" s="43">
        <f t="shared" si="2"/>
        <v>0</v>
      </c>
      <c r="N22" s="355"/>
    </row>
    <row r="23" spans="1:14" s="7"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v>14</v>
      </c>
      <c r="F24" s="309">
        <f>SUM(G24:M24)</f>
        <v>14</v>
      </c>
      <c r="G24" s="310">
        <v>0</v>
      </c>
      <c r="H24" s="310">
        <v>14</v>
      </c>
      <c r="I24" s="310">
        <v>0</v>
      </c>
      <c r="J24" s="310">
        <v>0</v>
      </c>
      <c r="K24" s="310">
        <v>0</v>
      </c>
      <c r="L24" s="310">
        <v>0</v>
      </c>
      <c r="M24" s="311">
        <v>0</v>
      </c>
      <c r="N24" s="418" t="s">
        <v>1064</v>
      </c>
    </row>
    <row r="25" spans="1:14">
      <c r="A25" s="264" t="s">
        <v>298</v>
      </c>
      <c r="B25" s="36"/>
      <c r="C25" s="44" t="s">
        <v>299</v>
      </c>
      <c r="D25" s="45"/>
      <c r="E25" s="263">
        <v>0</v>
      </c>
      <c r="F25" s="309">
        <f t="shared" ref="F25:F35" si="3">SUM(G25:M25)</f>
        <v>0</v>
      </c>
      <c r="G25" s="310">
        <v>0</v>
      </c>
      <c r="H25" s="310">
        <v>0</v>
      </c>
      <c r="I25" s="310">
        <v>0</v>
      </c>
      <c r="J25" s="310">
        <v>0</v>
      </c>
      <c r="K25" s="310">
        <v>0</v>
      </c>
      <c r="L25" s="310">
        <v>0</v>
      </c>
      <c r="M25" s="311">
        <v>0</v>
      </c>
      <c r="N25" s="355"/>
    </row>
    <row r="26" spans="1:14">
      <c r="A26" s="264" t="s">
        <v>300</v>
      </c>
      <c r="B26" s="36"/>
      <c r="C26" s="44" t="s">
        <v>301</v>
      </c>
      <c r="D26" s="45"/>
      <c r="E26" s="263">
        <v>6</v>
      </c>
      <c r="F26" s="309">
        <f t="shared" si="3"/>
        <v>6</v>
      </c>
      <c r="G26" s="310">
        <v>0</v>
      </c>
      <c r="H26" s="310">
        <v>6</v>
      </c>
      <c r="I26" s="310">
        <v>0</v>
      </c>
      <c r="J26" s="310">
        <v>0</v>
      </c>
      <c r="K26" s="310">
        <v>0</v>
      </c>
      <c r="L26" s="310">
        <v>0</v>
      </c>
      <c r="M26" s="311">
        <v>0</v>
      </c>
      <c r="N26" s="418" t="s">
        <v>1065</v>
      </c>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59.4">
      <c r="A28" s="264" t="s">
        <v>304</v>
      </c>
      <c r="B28" s="36"/>
      <c r="C28" s="44">
        <v>251</v>
      </c>
      <c r="D28" s="45"/>
      <c r="E28" s="263">
        <v>267</v>
      </c>
      <c r="F28" s="309">
        <f t="shared" si="3"/>
        <v>283</v>
      </c>
      <c r="G28" s="310">
        <v>0</v>
      </c>
      <c r="H28" s="310">
        <v>283</v>
      </c>
      <c r="I28" s="310">
        <v>0</v>
      </c>
      <c r="J28" s="310">
        <v>0</v>
      </c>
      <c r="K28" s="310">
        <v>0</v>
      </c>
      <c r="L28" s="310">
        <v>0</v>
      </c>
      <c r="M28" s="311">
        <v>0</v>
      </c>
      <c r="N28" s="325" t="s">
        <v>1066</v>
      </c>
    </row>
    <row r="29" spans="1:14" ht="29.7">
      <c r="A29" s="264" t="s">
        <v>313</v>
      </c>
      <c r="B29" s="36"/>
      <c r="C29" s="44">
        <v>252</v>
      </c>
      <c r="D29" s="45"/>
      <c r="E29" s="263">
        <v>0</v>
      </c>
      <c r="F29" s="309">
        <f t="shared" si="3"/>
        <v>0</v>
      </c>
      <c r="G29" s="310">
        <v>0</v>
      </c>
      <c r="H29" s="310">
        <v>0</v>
      </c>
      <c r="I29" s="310">
        <v>0</v>
      </c>
      <c r="J29" s="310">
        <v>0</v>
      </c>
      <c r="K29" s="310">
        <v>0</v>
      </c>
      <c r="L29" s="310">
        <v>0</v>
      </c>
      <c r="M29" s="311">
        <v>0</v>
      </c>
      <c r="N29" s="566" t="s">
        <v>1067</v>
      </c>
    </row>
    <row r="30" spans="1:14">
      <c r="A30" s="264" t="s">
        <v>314</v>
      </c>
      <c r="B30" s="36"/>
      <c r="C30" s="44">
        <v>252</v>
      </c>
      <c r="D30" s="45"/>
      <c r="E30" s="263">
        <v>11</v>
      </c>
      <c r="F30" s="309">
        <f t="shared" si="3"/>
        <v>11</v>
      </c>
      <c r="G30" s="310">
        <v>0</v>
      </c>
      <c r="H30" s="310">
        <v>11</v>
      </c>
      <c r="I30" s="310">
        <v>0</v>
      </c>
      <c r="J30" s="310">
        <v>0</v>
      </c>
      <c r="K30" s="310">
        <v>0</v>
      </c>
      <c r="L30" s="310">
        <v>0</v>
      </c>
      <c r="M30" s="311">
        <v>0</v>
      </c>
      <c r="N30" s="418" t="s">
        <v>1068</v>
      </c>
    </row>
    <row r="31" spans="1:14">
      <c r="A31" s="264" t="s">
        <v>315</v>
      </c>
      <c r="B31" s="36"/>
      <c r="C31" s="44">
        <v>253</v>
      </c>
      <c r="D31" s="264"/>
      <c r="E31" s="263">
        <v>0</v>
      </c>
      <c r="F31" s="309">
        <f t="shared" si="3"/>
        <v>0</v>
      </c>
      <c r="G31" s="310">
        <v>0</v>
      </c>
      <c r="H31" s="310">
        <v>0</v>
      </c>
      <c r="I31" s="310">
        <v>0</v>
      </c>
      <c r="J31" s="310">
        <v>0</v>
      </c>
      <c r="K31" s="310">
        <v>0</v>
      </c>
      <c r="L31" s="310">
        <v>0</v>
      </c>
      <c r="M31" s="311">
        <v>0</v>
      </c>
      <c r="N31" s="355"/>
    </row>
    <row r="32" spans="1:14">
      <c r="A32" s="264" t="s">
        <v>316</v>
      </c>
      <c r="B32" s="36"/>
      <c r="C32" s="44">
        <v>255</v>
      </c>
      <c r="D32" s="264"/>
      <c r="E32" s="263">
        <v>0</v>
      </c>
      <c r="F32" s="309">
        <f t="shared" si="3"/>
        <v>0</v>
      </c>
      <c r="G32" s="310">
        <v>0</v>
      </c>
      <c r="H32" s="310">
        <v>0</v>
      </c>
      <c r="I32" s="310">
        <v>0</v>
      </c>
      <c r="J32" s="310">
        <v>0</v>
      </c>
      <c r="K32" s="310">
        <v>0</v>
      </c>
      <c r="L32" s="310">
        <v>0</v>
      </c>
      <c r="M32" s="311">
        <v>0</v>
      </c>
      <c r="N32" s="355"/>
    </row>
    <row r="33" spans="1:14">
      <c r="A33" s="264" t="s">
        <v>317</v>
      </c>
      <c r="B33" s="36"/>
      <c r="C33" s="44">
        <v>256</v>
      </c>
      <c r="D33" s="264"/>
      <c r="E33" s="263">
        <v>0</v>
      </c>
      <c r="F33" s="309">
        <f t="shared" si="3"/>
        <v>0</v>
      </c>
      <c r="G33" s="310">
        <v>0</v>
      </c>
      <c r="H33" s="310">
        <v>0</v>
      </c>
      <c r="I33" s="310">
        <v>0</v>
      </c>
      <c r="J33" s="310">
        <v>0</v>
      </c>
      <c r="K33" s="310">
        <v>0</v>
      </c>
      <c r="L33" s="310">
        <v>0</v>
      </c>
      <c r="M33" s="311">
        <v>0</v>
      </c>
      <c r="N33" s="355"/>
    </row>
    <row r="34" spans="1:14" ht="29.7">
      <c r="A34" s="264" t="s">
        <v>318</v>
      </c>
      <c r="B34" s="36"/>
      <c r="C34" s="44">
        <v>257</v>
      </c>
      <c r="D34" s="264"/>
      <c r="E34" s="263">
        <v>330</v>
      </c>
      <c r="F34" s="309">
        <f t="shared" si="3"/>
        <v>350</v>
      </c>
      <c r="G34" s="310">
        <v>0</v>
      </c>
      <c r="H34" s="310">
        <v>350</v>
      </c>
      <c r="I34" s="310">
        <v>0</v>
      </c>
      <c r="J34" s="310">
        <v>0</v>
      </c>
      <c r="K34" s="310">
        <v>0</v>
      </c>
      <c r="L34" s="310">
        <v>0</v>
      </c>
      <c r="M34" s="311">
        <v>0</v>
      </c>
      <c r="N34" s="419" t="s">
        <v>1069</v>
      </c>
    </row>
    <row r="35" spans="1:14">
      <c r="A35" s="264" t="s">
        <v>319</v>
      </c>
      <c r="B35" s="36"/>
      <c r="C35" s="44" t="s">
        <v>320</v>
      </c>
      <c r="D35" s="264"/>
      <c r="E35" s="263">
        <v>0.5</v>
      </c>
      <c r="F35" s="309">
        <f t="shared" si="3"/>
        <v>0.5</v>
      </c>
      <c r="G35" s="310">
        <v>0</v>
      </c>
      <c r="H35" s="310">
        <v>0.5</v>
      </c>
      <c r="I35" s="310">
        <v>0</v>
      </c>
      <c r="J35" s="310">
        <v>0</v>
      </c>
      <c r="K35" s="310">
        <v>0</v>
      </c>
      <c r="L35" s="310">
        <v>0</v>
      </c>
      <c r="M35" s="311">
        <v>0</v>
      </c>
      <c r="N35" s="355"/>
    </row>
    <row r="36" spans="1:14" s="381" customFormat="1" ht="15.8" customHeight="1">
      <c r="A36" s="265" t="s">
        <v>321</v>
      </c>
      <c r="B36" s="36"/>
      <c r="C36" s="266" t="s">
        <v>322</v>
      </c>
      <c r="D36" s="265"/>
      <c r="E36" s="263">
        <v>34</v>
      </c>
      <c r="F36" s="309">
        <f>SUM(G36:M36)</f>
        <v>35</v>
      </c>
      <c r="G36" s="310">
        <v>0</v>
      </c>
      <c r="H36" s="310">
        <v>35</v>
      </c>
      <c r="I36" s="310">
        <v>0</v>
      </c>
      <c r="J36" s="310">
        <v>0</v>
      </c>
      <c r="K36" s="310">
        <v>0</v>
      </c>
      <c r="L36" s="310">
        <v>0</v>
      </c>
      <c r="M36" s="311">
        <v>0</v>
      </c>
      <c r="N36" s="325" t="s">
        <v>1070</v>
      </c>
    </row>
    <row r="37" spans="1:14" ht="29.7">
      <c r="A37" s="265" t="s">
        <v>323</v>
      </c>
      <c r="B37" s="390"/>
      <c r="C37" s="266" t="s">
        <v>324</v>
      </c>
      <c r="D37" s="265"/>
      <c r="E37" s="318">
        <v>-99</v>
      </c>
      <c r="F37" s="309">
        <f>SUM(G37:M37)</f>
        <v>0</v>
      </c>
      <c r="G37" s="165">
        <v>0</v>
      </c>
      <c r="H37" s="165">
        <v>0</v>
      </c>
      <c r="I37" s="165">
        <v>0</v>
      </c>
      <c r="J37" s="165">
        <v>0</v>
      </c>
      <c r="K37" s="165">
        <v>0</v>
      </c>
      <c r="L37" s="165">
        <v>0</v>
      </c>
      <c r="M37" s="166">
        <v>0</v>
      </c>
      <c r="N37" s="325" t="s">
        <v>458</v>
      </c>
    </row>
    <row r="38" spans="1:14">
      <c r="A38" s="40" t="s">
        <v>326</v>
      </c>
      <c r="B38" s="265"/>
      <c r="C38" s="266"/>
      <c r="D38" s="267"/>
      <c r="E38" s="42">
        <f t="shared" ref="E38:M38" si="4">SUM(E24:E37)</f>
        <v>563.5</v>
      </c>
      <c r="F38" s="43">
        <f t="shared" si="4"/>
        <v>699.5</v>
      </c>
      <c r="G38" s="43">
        <f t="shared" si="4"/>
        <v>0</v>
      </c>
      <c r="H38" s="43">
        <f t="shared" si="4"/>
        <v>699.5</v>
      </c>
      <c r="I38" s="43">
        <f t="shared" si="4"/>
        <v>0</v>
      </c>
      <c r="J38" s="43">
        <f t="shared" si="4"/>
        <v>0</v>
      </c>
      <c r="K38" s="43">
        <f t="shared" si="4"/>
        <v>0</v>
      </c>
      <c r="L38" s="43">
        <f t="shared" si="4"/>
        <v>0</v>
      </c>
      <c r="M38" s="43">
        <f t="shared" si="4"/>
        <v>0</v>
      </c>
      <c r="N38" s="355"/>
    </row>
    <row r="39" spans="1:14">
      <c r="A39" s="40" t="s">
        <v>327</v>
      </c>
      <c r="B39" s="51"/>
      <c r="C39" s="149"/>
      <c r="D39" s="267"/>
      <c r="E39" s="42"/>
      <c r="F39" s="240">
        <f>SUM(G39:M39)</f>
        <v>0</v>
      </c>
      <c r="G39" s="240"/>
      <c r="H39" s="240"/>
      <c r="I39" s="240"/>
      <c r="J39" s="240"/>
      <c r="K39" s="240"/>
      <c r="L39" s="240"/>
      <c r="M39" s="240"/>
      <c r="N39" s="325"/>
    </row>
    <row r="40" spans="1:14">
      <c r="A40" s="40" t="s">
        <v>328</v>
      </c>
      <c r="B40" s="46"/>
      <c r="C40" s="47"/>
      <c r="D40" s="48">
        <f>D38+D22+D16</f>
        <v>5</v>
      </c>
      <c r="E40" s="42">
        <f>E38+E22+E16-E39</f>
        <v>1503.5</v>
      </c>
      <c r="F40" s="17">
        <f t="shared" ref="F40:M40" si="5">F38+F22+F16-F39</f>
        <v>1591.5</v>
      </c>
      <c r="G40" s="17">
        <f t="shared" si="5"/>
        <v>0</v>
      </c>
      <c r="H40" s="17">
        <f t="shared" si="5"/>
        <v>1591.5</v>
      </c>
      <c r="I40" s="17">
        <f t="shared" si="5"/>
        <v>0</v>
      </c>
      <c r="J40" s="17">
        <f t="shared" si="5"/>
        <v>0</v>
      </c>
      <c r="K40" s="17">
        <f t="shared" si="5"/>
        <v>0</v>
      </c>
      <c r="L40" s="17">
        <f t="shared" si="5"/>
        <v>0</v>
      </c>
      <c r="M40" s="17">
        <f t="shared" si="5"/>
        <v>0</v>
      </c>
      <c r="N40" s="353"/>
    </row>
    <row r="41" spans="1:14" s="354" customFormat="1" ht="28.05" customHeight="1">
      <c r="A41" s="249" t="s">
        <v>1071</v>
      </c>
      <c r="B41" s="249"/>
      <c r="C41" s="53"/>
      <c r="D41" s="54"/>
      <c r="E41" s="55">
        <f>E40-C46</f>
        <v>1281.5</v>
      </c>
      <c r="F41" s="55">
        <f>F40-B46</f>
        <v>1290.5</v>
      </c>
      <c r="G41" s="381"/>
      <c r="H41" s="381"/>
      <c r="I41" s="381"/>
      <c r="J41" s="381"/>
      <c r="K41" s="381"/>
      <c r="L41" s="381"/>
      <c r="M41" s="381"/>
      <c r="N41" s="381"/>
    </row>
    <row r="42" spans="1:14" s="354" customFormat="1">
      <c r="A42" s="381"/>
      <c r="B42" s="687" t="s">
        <v>393</v>
      </c>
      <c r="C42" s="687" t="s">
        <v>359</v>
      </c>
      <c r="D42" s="381"/>
      <c r="E42" s="381"/>
      <c r="F42" s="381"/>
      <c r="G42" s="381"/>
      <c r="H42" s="381"/>
      <c r="I42" s="381"/>
      <c r="J42" s="381"/>
      <c r="K42" s="381"/>
      <c r="L42" s="381"/>
      <c r="M42" s="381"/>
      <c r="N42" s="381"/>
    </row>
    <row r="43" spans="1:14" s="354" customFormat="1">
      <c r="A43" s="57" t="s">
        <v>1072</v>
      </c>
      <c r="B43" s="58">
        <v>138</v>
      </c>
      <c r="C43" s="58">
        <v>96</v>
      </c>
      <c r="D43" s="381"/>
      <c r="E43" s="869"/>
      <c r="F43" s="870"/>
      <c r="G43" s="29"/>
      <c r="H43" s="381" t="s">
        <v>1073</v>
      </c>
      <c r="I43" s="381"/>
      <c r="J43" s="381" t="s">
        <v>5</v>
      </c>
      <c r="K43" s="381"/>
      <c r="L43" s="381" t="s">
        <v>1074</v>
      </c>
      <c r="M43" s="381" t="s">
        <v>1075</v>
      </c>
      <c r="N43" s="498"/>
    </row>
    <row r="44" spans="1:14" s="354" customFormat="1">
      <c r="A44" s="264" t="s">
        <v>1076</v>
      </c>
      <c r="B44" s="59">
        <v>78</v>
      </c>
      <c r="C44" s="59">
        <v>126</v>
      </c>
      <c r="D44" s="381"/>
      <c r="E44" s="381"/>
      <c r="F44" s="262"/>
      <c r="G44" s="381"/>
      <c r="H44" s="381" t="s">
        <v>32</v>
      </c>
      <c r="I44" s="381"/>
      <c r="J44" s="394">
        <f>+F40*'Prep%Fuelspercentage.direct'!C38</f>
        <v>986.90669039717648</v>
      </c>
      <c r="K44" s="497"/>
      <c r="L44" s="262">
        <f>(+F41*'Prep%Fuelspercentage.direct'!B38)</f>
        <v>789.91504999999995</v>
      </c>
      <c r="M44" s="262">
        <f>+F41-M45</f>
        <v>695.5</v>
      </c>
      <c r="N44" s="262">
        <f>+M44-L44</f>
        <v>-94.415049999999951</v>
      </c>
    </row>
    <row r="45" spans="1:14" s="354" customFormat="1">
      <c r="A45" s="264" t="s">
        <v>1077</v>
      </c>
      <c r="B45" s="642">
        <v>85</v>
      </c>
      <c r="C45" s="642">
        <v>0</v>
      </c>
      <c r="D45" s="381"/>
      <c r="E45" s="381"/>
      <c r="F45" s="381"/>
      <c r="G45" s="381"/>
      <c r="H45" s="381" t="s">
        <v>33</v>
      </c>
      <c r="I45" s="381"/>
      <c r="J45" s="394">
        <f>+F40*'Prep%Fuelspercentage.direct'!C39</f>
        <v>604.59330960282352</v>
      </c>
      <c r="K45" s="497"/>
      <c r="L45" s="262">
        <f>+F41*'Prep%Fuelspercentage.direct'!B39</f>
        <v>500.58495000000005</v>
      </c>
      <c r="M45" s="381">
        <v>595</v>
      </c>
      <c r="N45" s="262">
        <f>+M45-L45</f>
        <v>94.415049999999951</v>
      </c>
    </row>
    <row r="46" spans="1:14">
      <c r="A46" s="60" t="s">
        <v>1078</v>
      </c>
      <c r="B46" s="61">
        <f>SUM(B43:B45)</f>
        <v>301</v>
      </c>
      <c r="C46" s="61">
        <f>SUM(C43:C45)</f>
        <v>222</v>
      </c>
      <c r="D46" s="381"/>
      <c r="E46" s="381"/>
      <c r="F46" s="381"/>
      <c r="G46" s="381"/>
      <c r="H46" s="381"/>
      <c r="I46" s="381"/>
      <c r="J46" s="394">
        <f>SUM(J44:J45)</f>
        <v>1591.5</v>
      </c>
      <c r="K46" s="381"/>
      <c r="L46" s="262">
        <f>SUM(L44:L45)</f>
        <v>1290.5</v>
      </c>
      <c r="M46" s="262">
        <f>SUM(M44:M45)</f>
        <v>1290.5</v>
      </c>
      <c r="N46" s="381"/>
    </row>
    <row r="48" spans="1:14">
      <c r="A48" s="381"/>
      <c r="B48" s="381"/>
      <c r="C48" s="687"/>
      <c r="D48" s="381"/>
      <c r="E48" s="381"/>
      <c r="F48" s="381"/>
      <c r="G48" s="381"/>
      <c r="H48" s="381" t="s">
        <v>359</v>
      </c>
      <c r="I48" s="381"/>
      <c r="J48" s="381"/>
      <c r="K48" s="381"/>
      <c r="L48" s="381"/>
      <c r="M48" s="381"/>
      <c r="N48" s="381"/>
    </row>
    <row r="49" spans="1:14">
      <c r="A49" s="381"/>
      <c r="B49" s="381"/>
      <c r="C49" s="687"/>
      <c r="D49" s="381"/>
      <c r="E49" s="381"/>
      <c r="F49" s="381"/>
      <c r="G49" s="381"/>
      <c r="H49" s="381" t="s">
        <v>1073</v>
      </c>
      <c r="I49" s="381"/>
      <c r="J49" s="381" t="s">
        <v>5</v>
      </c>
      <c r="K49" s="381"/>
      <c r="L49" s="381" t="s">
        <v>1074</v>
      </c>
      <c r="M49" s="381" t="s">
        <v>1079</v>
      </c>
      <c r="N49" s="381"/>
    </row>
    <row r="50" spans="1:14">
      <c r="A50" s="381"/>
      <c r="B50" s="381"/>
      <c r="C50" s="687"/>
      <c r="D50" s="381"/>
      <c r="E50" s="381"/>
      <c r="F50" s="381"/>
      <c r="G50" s="381"/>
      <c r="H50" s="381" t="s">
        <v>32</v>
      </c>
      <c r="I50" s="381"/>
      <c r="J50" s="520">
        <f>894+20</f>
        <v>914</v>
      </c>
      <c r="K50" s="521"/>
      <c r="L50" s="227">
        <f>759+20</f>
        <v>779</v>
      </c>
      <c r="M50" s="227">
        <f>728+20</f>
        <v>748</v>
      </c>
      <c r="N50" s="262">
        <f>+M50-L50</f>
        <v>-31</v>
      </c>
    </row>
    <row r="51" spans="1:14">
      <c r="A51" s="381"/>
      <c r="B51" s="381"/>
      <c r="C51" s="687"/>
      <c r="D51" s="381"/>
      <c r="E51" s="381"/>
      <c r="F51" s="381"/>
      <c r="G51" s="381"/>
      <c r="H51" s="381" t="s">
        <v>33</v>
      </c>
      <c r="I51" s="381"/>
      <c r="J51" s="520">
        <f>567+23</f>
        <v>590</v>
      </c>
      <c r="K51" s="521"/>
      <c r="L51" s="227">
        <f>480+23</f>
        <v>503</v>
      </c>
      <c r="M51" s="227">
        <f>511+23</f>
        <v>534</v>
      </c>
      <c r="N51" s="262">
        <f>+M51-L51</f>
        <v>31</v>
      </c>
    </row>
    <row r="52" spans="1:14">
      <c r="A52" s="381"/>
      <c r="B52" s="381"/>
      <c r="C52" s="687"/>
      <c r="D52" s="381"/>
      <c r="E52" s="381"/>
      <c r="F52" s="381"/>
      <c r="G52" s="381"/>
      <c r="H52" s="381"/>
      <c r="I52" s="381"/>
      <c r="J52" s="520">
        <f>SUM(J50:J51)</f>
        <v>1504</v>
      </c>
      <c r="K52" s="29"/>
      <c r="L52" s="227">
        <f>SUM(L50:L51)</f>
        <v>1282</v>
      </c>
      <c r="M52" s="227">
        <f>SUM(M50:M51)</f>
        <v>1282</v>
      </c>
      <c r="N52" s="381"/>
    </row>
    <row r="54" spans="1:14" s="381" customFormat="1" ht="15.6" thickBot="1">
      <c r="A54" s="31"/>
      <c r="B54" s="31"/>
      <c r="C54" s="32"/>
      <c r="D54" s="31"/>
      <c r="E54" s="31"/>
      <c r="F54" s="31"/>
      <c r="G54" s="31"/>
      <c r="H54" s="31"/>
      <c r="I54" s="31"/>
      <c r="J54" s="31"/>
      <c r="K54" s="31"/>
      <c r="L54" s="31"/>
      <c r="M54" s="31"/>
      <c r="N54" s="562"/>
    </row>
    <row r="55" spans="1:14" s="381" customFormat="1" ht="15.6">
      <c r="A55" s="764" t="s">
        <v>330</v>
      </c>
      <c r="B55" s="765"/>
      <c r="C55" s="765"/>
      <c r="D55" s="765"/>
      <c r="E55" s="765"/>
      <c r="F55" s="765"/>
      <c r="G55" s="581"/>
      <c r="H55" s="31"/>
      <c r="I55" s="31"/>
      <c r="J55" s="31"/>
      <c r="K55" s="31"/>
      <c r="L55" s="31"/>
      <c r="M55" s="31"/>
      <c r="N55" s="562"/>
    </row>
    <row r="56" spans="1:14" s="381" customFormat="1" ht="15.6">
      <c r="A56" s="738"/>
      <c r="B56" s="739"/>
      <c r="C56" s="739"/>
      <c r="D56" s="739"/>
      <c r="E56" s="739"/>
      <c r="F56" s="739"/>
      <c r="G56" s="582"/>
      <c r="H56" s="31"/>
      <c r="I56" s="31"/>
      <c r="J56" s="31"/>
      <c r="K56" s="31"/>
      <c r="L56" s="31"/>
      <c r="M56" s="31"/>
      <c r="N56" s="562"/>
    </row>
    <row r="57" spans="1:14" s="381" customFormat="1">
      <c r="A57" s="740" t="s">
        <v>331</v>
      </c>
      <c r="B57" s="741"/>
      <c r="C57" s="583"/>
      <c r="D57" s="583"/>
      <c r="E57" s="583"/>
      <c r="F57" s="583"/>
      <c r="G57" s="582"/>
      <c r="H57" s="31"/>
      <c r="I57" s="31"/>
      <c r="J57" s="31"/>
      <c r="K57" s="31"/>
      <c r="L57" s="31"/>
      <c r="M57" s="31"/>
      <c r="N57" s="562"/>
    </row>
    <row r="58" spans="1:14" s="381" customFormat="1">
      <c r="A58" s="584" t="s">
        <v>361</v>
      </c>
      <c r="B58" s="585">
        <f>E40</f>
        <v>1503.5</v>
      </c>
      <c r="C58" s="586"/>
      <c r="D58" s="587"/>
      <c r="E58" s="587"/>
      <c r="F58" s="587"/>
      <c r="G58" s="582"/>
      <c r="H58" s="31"/>
      <c r="I58" s="31"/>
      <c r="J58" s="31"/>
      <c r="K58" s="31"/>
      <c r="L58" s="31"/>
      <c r="M58" s="31"/>
      <c r="N58" s="562"/>
    </row>
    <row r="59" spans="1:14" s="381" customFormat="1">
      <c r="A59" s="588" t="s">
        <v>362</v>
      </c>
      <c r="B59" s="589">
        <f>F40</f>
        <v>1591.5</v>
      </c>
      <c r="C59" s="586"/>
      <c r="D59" s="587"/>
      <c r="E59" s="587"/>
      <c r="F59" s="587"/>
      <c r="G59" s="582"/>
      <c r="H59" s="31"/>
      <c r="I59" s="31"/>
      <c r="J59" s="31"/>
      <c r="K59" s="31"/>
      <c r="L59" s="31"/>
      <c r="M59" s="31"/>
      <c r="N59" s="562"/>
    </row>
    <row r="60" spans="1:14" s="381" customFormat="1">
      <c r="A60" s="590" t="s">
        <v>334</v>
      </c>
      <c r="B60" s="591">
        <f>B59-B58</f>
        <v>88</v>
      </c>
      <c r="C60" s="586"/>
      <c r="D60" s="587"/>
      <c r="E60" s="587"/>
      <c r="F60" s="587"/>
      <c r="G60" s="582"/>
      <c r="H60" s="31"/>
      <c r="I60" s="31"/>
      <c r="J60" s="31"/>
      <c r="K60" s="31"/>
      <c r="L60" s="31"/>
      <c r="M60" s="31"/>
      <c r="N60" s="562"/>
    </row>
    <row r="61" spans="1:14" s="381" customFormat="1">
      <c r="A61" s="590" t="s">
        <v>335</v>
      </c>
      <c r="B61" s="592">
        <f>B60/B58</f>
        <v>5.8530096441636183E-2</v>
      </c>
      <c r="C61" s="586"/>
      <c r="D61" s="587"/>
      <c r="E61" s="587"/>
      <c r="F61" s="587"/>
      <c r="G61" s="582"/>
      <c r="H61" s="31"/>
      <c r="I61" s="31"/>
      <c r="J61" s="31"/>
      <c r="K61" s="31"/>
      <c r="L61" s="31"/>
      <c r="M61" s="31"/>
      <c r="N61" s="562"/>
    </row>
    <row r="62" spans="1:14" s="381" customFormat="1">
      <c r="A62" s="593"/>
      <c r="B62" s="587"/>
      <c r="C62" s="686"/>
      <c r="D62" s="587"/>
      <c r="E62" s="587"/>
      <c r="F62" s="587"/>
      <c r="G62" s="582"/>
      <c r="H62" s="31"/>
      <c r="I62" s="31"/>
      <c r="J62" s="31"/>
      <c r="K62" s="31"/>
      <c r="L62" s="31"/>
      <c r="M62" s="31"/>
      <c r="N62" s="562"/>
    </row>
    <row r="63" spans="1:14" s="381" customFormat="1">
      <c r="A63" s="731" t="s">
        <v>336</v>
      </c>
      <c r="B63" s="732"/>
      <c r="C63" s="732"/>
      <c r="D63" s="732"/>
      <c r="E63" s="732"/>
      <c r="F63" s="732"/>
      <c r="G63" s="582"/>
      <c r="H63" s="31"/>
      <c r="I63" s="31"/>
      <c r="J63" s="31"/>
      <c r="K63" s="31"/>
      <c r="L63" s="31"/>
      <c r="M63" s="31"/>
      <c r="N63" s="562"/>
    </row>
    <row r="64" spans="1:14" s="381" customFormat="1" ht="22.3" customHeight="1">
      <c r="A64" s="742"/>
      <c r="B64" s="743"/>
      <c r="C64" s="743"/>
      <c r="D64" s="743"/>
      <c r="E64" s="743"/>
      <c r="F64" s="744"/>
      <c r="G64" s="582"/>
      <c r="H64" s="31"/>
      <c r="I64" s="31"/>
      <c r="J64" s="31"/>
      <c r="K64" s="31"/>
      <c r="L64" s="31"/>
      <c r="M64" s="31"/>
      <c r="N64" s="562"/>
    </row>
    <row r="65" spans="1:14" s="381" customFormat="1">
      <c r="A65" s="594"/>
      <c r="B65" s="595"/>
      <c r="C65" s="595"/>
      <c r="D65" s="595"/>
      <c r="E65" s="595"/>
      <c r="F65" s="595"/>
      <c r="G65" s="582"/>
      <c r="H65" s="31"/>
      <c r="I65" s="31"/>
      <c r="J65" s="31"/>
      <c r="K65" s="31"/>
      <c r="L65" s="31"/>
      <c r="M65" s="31"/>
      <c r="N65" s="562"/>
    </row>
    <row r="66" spans="1:14" s="381" customFormat="1">
      <c r="A66" s="596" t="s">
        <v>337</v>
      </c>
      <c r="B66" s="587"/>
      <c r="C66" s="686"/>
      <c r="D66" s="587"/>
      <c r="E66" s="587"/>
      <c r="F66" s="587"/>
      <c r="G66" s="582"/>
      <c r="H66" s="31"/>
      <c r="I66" s="31"/>
      <c r="J66" s="31"/>
      <c r="K66" s="31"/>
      <c r="L66" s="31"/>
      <c r="M66" s="31"/>
      <c r="N66" s="562"/>
    </row>
    <row r="67" spans="1:14" s="381" customFormat="1" ht="21.55" customHeight="1">
      <c r="A67" s="735"/>
      <c r="B67" s="736"/>
      <c r="C67" s="736"/>
      <c r="D67" s="736"/>
      <c r="E67" s="736"/>
      <c r="F67" s="737"/>
      <c r="G67" s="582"/>
      <c r="H67" s="31"/>
      <c r="I67" s="31"/>
      <c r="J67" s="31"/>
      <c r="K67" s="31"/>
      <c r="L67" s="31"/>
      <c r="M67" s="31"/>
      <c r="N67" s="562"/>
    </row>
    <row r="68" spans="1:14" s="381" customFormat="1">
      <c r="A68" s="593"/>
      <c r="B68" s="587"/>
      <c r="C68" s="686"/>
      <c r="D68" s="587"/>
      <c r="E68" s="587"/>
      <c r="F68" s="587"/>
      <c r="G68" s="582"/>
      <c r="H68" s="31"/>
      <c r="I68" s="31"/>
      <c r="J68" s="31"/>
      <c r="K68" s="31"/>
      <c r="L68" s="31"/>
      <c r="M68" s="31"/>
      <c r="N68" s="562"/>
    </row>
    <row r="69" spans="1:14" s="381" customFormat="1">
      <c r="A69" s="731" t="s">
        <v>365</v>
      </c>
      <c r="B69" s="732"/>
      <c r="C69" s="732"/>
      <c r="D69" s="732"/>
      <c r="E69" s="732"/>
      <c r="F69" s="732"/>
      <c r="G69" s="582"/>
      <c r="H69" s="31"/>
      <c r="I69" s="31"/>
      <c r="J69" s="31"/>
      <c r="K69" s="31"/>
      <c r="L69" s="31"/>
      <c r="M69" s="31"/>
      <c r="N69" s="562"/>
    </row>
    <row r="70" spans="1:14" s="381" customFormat="1">
      <c r="A70" s="733" t="s">
        <v>339</v>
      </c>
      <c r="B70" s="734"/>
      <c r="C70" s="734"/>
      <c r="D70" s="734"/>
      <c r="E70" s="734"/>
      <c r="F70" s="734"/>
      <c r="G70" s="582"/>
      <c r="H70" s="31"/>
      <c r="I70" s="31"/>
      <c r="J70" s="31"/>
      <c r="K70" s="31"/>
      <c r="L70" s="31"/>
      <c r="M70" s="31"/>
      <c r="N70" s="562"/>
    </row>
    <row r="71" spans="1:14" s="381" customFormat="1" ht="19.3" customHeight="1">
      <c r="A71" s="735"/>
      <c r="B71" s="736"/>
      <c r="C71" s="736"/>
      <c r="D71" s="736"/>
      <c r="E71" s="736"/>
      <c r="F71" s="737"/>
      <c r="G71" s="582"/>
      <c r="H71" s="31"/>
      <c r="I71" s="31"/>
      <c r="J71" s="31"/>
      <c r="K71" s="31"/>
      <c r="L71" s="31"/>
      <c r="M71" s="31"/>
      <c r="N71" s="562"/>
    </row>
    <row r="72" spans="1:14" s="381" customFormat="1">
      <c r="A72" s="596"/>
      <c r="B72" s="587"/>
      <c r="C72" s="686"/>
      <c r="D72" s="587"/>
      <c r="E72" s="587"/>
      <c r="F72" s="587"/>
      <c r="G72" s="582"/>
      <c r="H72" s="31"/>
      <c r="I72" s="31"/>
      <c r="J72" s="31"/>
      <c r="K72" s="31"/>
      <c r="L72" s="31"/>
      <c r="M72" s="31"/>
      <c r="N72" s="562"/>
    </row>
    <row r="73" spans="1:14" s="381" customFormat="1">
      <c r="A73" s="731" t="s">
        <v>340</v>
      </c>
      <c r="B73" s="732"/>
      <c r="C73" s="732"/>
      <c r="D73" s="732"/>
      <c r="E73" s="732"/>
      <c r="F73" s="587"/>
      <c r="G73" s="582"/>
      <c r="H73" s="31"/>
      <c r="I73" s="31"/>
      <c r="J73" s="31"/>
      <c r="K73" s="31"/>
      <c r="L73" s="31"/>
      <c r="M73" s="31"/>
      <c r="N73" s="562"/>
    </row>
    <row r="74" spans="1:14" s="381" customFormat="1" ht="21.55" customHeight="1">
      <c r="A74" s="728"/>
      <c r="B74" s="729"/>
      <c r="C74" s="729"/>
      <c r="D74" s="729"/>
      <c r="E74" s="729"/>
      <c r="F74" s="730"/>
      <c r="G74" s="582"/>
      <c r="H74" s="31"/>
      <c r="I74" s="31"/>
      <c r="J74" s="31"/>
      <c r="K74" s="31"/>
      <c r="L74" s="31"/>
      <c r="M74" s="31"/>
      <c r="N74" s="562"/>
    </row>
    <row r="75" spans="1:14" s="381" customFormat="1">
      <c r="A75" s="593"/>
      <c r="B75" s="587"/>
      <c r="C75" s="686"/>
      <c r="D75" s="587"/>
      <c r="E75" s="587"/>
      <c r="F75" s="587"/>
      <c r="G75" s="582"/>
      <c r="H75" s="31"/>
      <c r="I75" s="31"/>
      <c r="J75" s="31"/>
      <c r="K75" s="31"/>
      <c r="L75" s="31"/>
      <c r="M75" s="31"/>
      <c r="N75" s="562"/>
    </row>
    <row r="76" spans="1:14" s="381" customFormat="1">
      <c r="A76" s="596" t="s">
        <v>341</v>
      </c>
      <c r="B76" s="587"/>
      <c r="C76" s="686"/>
      <c r="D76" s="587"/>
      <c r="E76" s="587"/>
      <c r="F76" s="587"/>
      <c r="G76" s="582"/>
      <c r="H76" s="31"/>
      <c r="I76" s="31"/>
      <c r="J76" s="31"/>
      <c r="K76" s="31"/>
      <c r="L76" s="31"/>
      <c r="M76" s="31"/>
      <c r="N76" s="562"/>
    </row>
    <row r="77" spans="1:14" s="381" customFormat="1">
      <c r="A77" s="597" t="s">
        <v>342</v>
      </c>
      <c r="B77" s="587"/>
      <c r="C77" s="686"/>
      <c r="D77" s="587"/>
      <c r="E77" s="587"/>
      <c r="F77" s="587"/>
      <c r="G77" s="582"/>
      <c r="H77" s="31"/>
      <c r="I77" s="31"/>
      <c r="J77" s="31"/>
      <c r="K77" s="31"/>
      <c r="L77" s="31"/>
      <c r="M77" s="31"/>
      <c r="N77" s="562"/>
    </row>
    <row r="78" spans="1:14" s="381" customFormat="1" ht="26.2" customHeight="1">
      <c r="A78" s="719" t="s">
        <v>368</v>
      </c>
      <c r="B78" s="720"/>
      <c r="C78" s="720"/>
      <c r="D78" s="720"/>
      <c r="E78" s="720"/>
      <c r="F78" s="720"/>
      <c r="G78" s="582"/>
      <c r="H78" s="31"/>
      <c r="I78" s="31"/>
      <c r="J78" s="31"/>
      <c r="K78" s="31"/>
      <c r="L78" s="31"/>
      <c r="M78" s="31"/>
      <c r="N78" s="562"/>
    </row>
    <row r="79" spans="1:14" s="381" customFormat="1" ht="26.2" customHeight="1">
      <c r="A79" s="721"/>
      <c r="B79" s="722"/>
      <c r="C79" s="722"/>
      <c r="D79" s="722"/>
      <c r="E79" s="722"/>
      <c r="F79" s="723"/>
      <c r="G79" s="582"/>
      <c r="H79" s="31"/>
      <c r="I79" s="31"/>
      <c r="J79" s="31"/>
      <c r="K79" s="31"/>
      <c r="L79" s="31"/>
      <c r="M79" s="31"/>
      <c r="N79" s="562"/>
    </row>
    <row r="80" spans="1:14" s="381" customFormat="1">
      <c r="A80" s="724"/>
      <c r="B80" s="725"/>
      <c r="C80" s="725"/>
      <c r="D80" s="725"/>
      <c r="E80" s="725"/>
      <c r="F80" s="725"/>
      <c r="G80" s="582"/>
      <c r="H80" s="31"/>
      <c r="I80" s="31"/>
      <c r="J80" s="31"/>
      <c r="K80" s="31"/>
      <c r="L80" s="31"/>
      <c r="M80" s="31"/>
      <c r="N80" s="562"/>
    </row>
    <row r="81" spans="1:14" s="381" customFormat="1">
      <c r="A81" s="597" t="s">
        <v>344</v>
      </c>
      <c r="B81" s="587"/>
      <c r="C81" s="686"/>
      <c r="D81" s="587"/>
      <c r="E81" s="587"/>
      <c r="F81" s="587"/>
      <c r="G81" s="582"/>
      <c r="H81" s="31"/>
      <c r="I81" s="31"/>
      <c r="J81" s="31"/>
      <c r="K81" s="31"/>
      <c r="L81" s="31"/>
      <c r="M81" s="31"/>
      <c r="N81" s="562"/>
    </row>
    <row r="82" spans="1:14" s="381" customFormat="1" ht="28.8" customHeight="1">
      <c r="A82" s="726" t="s">
        <v>345</v>
      </c>
      <c r="B82" s="727"/>
      <c r="C82" s="727"/>
      <c r="D82" s="727"/>
      <c r="E82" s="727"/>
      <c r="F82" s="727"/>
      <c r="G82" s="582"/>
      <c r="H82" s="31"/>
      <c r="I82" s="31"/>
      <c r="J82" s="31"/>
      <c r="K82" s="31"/>
      <c r="L82" s="31"/>
      <c r="M82" s="31"/>
      <c r="N82" s="562"/>
    </row>
    <row r="83" spans="1:14" s="381" customFormat="1" ht="20.8" customHeight="1">
      <c r="A83" s="728"/>
      <c r="B83" s="729"/>
      <c r="C83" s="729"/>
      <c r="D83" s="729"/>
      <c r="E83" s="729"/>
      <c r="F83" s="730"/>
      <c r="G83" s="582"/>
      <c r="H83" s="31"/>
      <c r="I83" s="31"/>
      <c r="J83" s="31"/>
      <c r="K83" s="31"/>
      <c r="L83" s="31"/>
      <c r="M83" s="31"/>
      <c r="N83" s="562"/>
    </row>
    <row r="84" spans="1:14" s="381" customFormat="1" ht="15.6" thickBot="1">
      <c r="A84" s="598"/>
      <c r="B84" s="599"/>
      <c r="C84" s="600"/>
      <c r="D84" s="599"/>
      <c r="E84" s="599"/>
      <c r="F84" s="599"/>
      <c r="G84" s="601"/>
      <c r="H84" s="31"/>
      <c r="I84" s="31"/>
      <c r="J84" s="31"/>
      <c r="K84" s="31"/>
      <c r="L84" s="31"/>
      <c r="M84" s="31"/>
      <c r="N84" s="562"/>
    </row>
  </sheetData>
  <mergeCells count="18">
    <mergeCell ref="A1:N1"/>
    <mergeCell ref="E43:F43"/>
    <mergeCell ref="A55:F55"/>
    <mergeCell ref="A56:F56"/>
    <mergeCell ref="A57:B57"/>
    <mergeCell ref="A63:F63"/>
    <mergeCell ref="A64:F64"/>
    <mergeCell ref="A67:F67"/>
    <mergeCell ref="A69:F69"/>
    <mergeCell ref="A70:F70"/>
    <mergeCell ref="A80:F80"/>
    <mergeCell ref="A82:F82"/>
    <mergeCell ref="A83:F83"/>
    <mergeCell ref="A71:F71"/>
    <mergeCell ref="A73:E73"/>
    <mergeCell ref="A74:F74"/>
    <mergeCell ref="A78:F78"/>
    <mergeCell ref="A79:F79"/>
  </mergeCells>
  <printOptions horizontalCentered="1"/>
  <pageMargins left="0.2" right="0.2" top="0.75" bottom="0.75" header="0.3" footer="0.3"/>
  <pageSetup scale="67" orientation="landscape" r:id="rId1"/>
  <headerFooter>
    <oddHeader xml:space="preserve">&amp;CDRAFT NOT FOR DISTRIBUTION, INTERNAL USE ONLY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XFD66"/>
  <sheetViews>
    <sheetView zoomScale="90" zoomScaleNormal="90" workbookViewId="0"/>
  </sheetViews>
  <sheetFormatPr defaultRowHeight="14.85"/>
  <cols>
    <col min="1" max="1" width="57.42578125" bestFit="1" customWidth="1"/>
    <col min="2" max="2" width="8" bestFit="1" customWidth="1"/>
    <col min="3" max="3" width="8.42578125" bestFit="1" customWidth="1"/>
    <col min="4" max="4" width="8.5703125" bestFit="1" customWidth="1"/>
    <col min="5" max="6" width="8.42578125" bestFit="1" customWidth="1"/>
    <col min="7" max="7" width="6.28515625" bestFit="1" customWidth="1"/>
    <col min="8" max="9" width="7.28515625" bestFit="1" customWidth="1"/>
    <col min="10" max="10" width="7.140625" bestFit="1" customWidth="1"/>
    <col min="11" max="11" width="8.42578125" bestFit="1" customWidth="1"/>
    <col min="12" max="12" width="11.85546875" style="151" bestFit="1" customWidth="1"/>
    <col min="13" max="13" width="4.42578125" bestFit="1" customWidth="1"/>
    <col min="14" max="14" width="7.42578125" style="252" customWidth="1"/>
    <col min="15" max="15" width="8" customWidth="1"/>
  </cols>
  <sheetData>
    <row r="1" spans="1:22" s="321" customFormat="1" ht="18.600000000000001">
      <c r="A1" s="324" t="s">
        <v>172</v>
      </c>
      <c r="B1" s="323"/>
      <c r="C1" s="323"/>
      <c r="D1" s="323"/>
      <c r="E1" s="323"/>
      <c r="F1" s="323"/>
      <c r="G1" s="323"/>
      <c r="H1" s="323"/>
      <c r="I1" s="323"/>
      <c r="J1" s="323"/>
      <c r="K1" s="323"/>
      <c r="L1" s="323"/>
      <c r="M1" s="323" t="s">
        <v>173</v>
      </c>
      <c r="N1" s="252"/>
      <c r="O1" s="381"/>
      <c r="P1" s="381"/>
      <c r="Q1" s="381"/>
      <c r="R1" s="381"/>
      <c r="S1" s="381"/>
      <c r="T1" s="381"/>
      <c r="U1" s="381"/>
      <c r="V1" s="381"/>
    </row>
    <row r="2" spans="1:22" ht="38.6">
      <c r="A2" s="112" t="s">
        <v>174</v>
      </c>
      <c r="B2" s="1" t="s">
        <v>175</v>
      </c>
      <c r="C2" s="2" t="s">
        <v>176</v>
      </c>
      <c r="D2" s="108" t="s">
        <v>177</v>
      </c>
      <c r="E2" s="107" t="s">
        <v>0</v>
      </c>
      <c r="F2" s="1" t="s">
        <v>1</v>
      </c>
      <c r="G2" s="1" t="s">
        <v>2</v>
      </c>
      <c r="H2" s="1" t="s">
        <v>3</v>
      </c>
      <c r="I2" s="1" t="s">
        <v>4</v>
      </c>
      <c r="J2" s="1" t="s">
        <v>34</v>
      </c>
      <c r="K2" s="1" t="s">
        <v>5</v>
      </c>
      <c r="L2" s="234" t="s">
        <v>178</v>
      </c>
      <c r="M2" s="323">
        <v>0</v>
      </c>
      <c r="O2" s="381"/>
      <c r="P2" s="381"/>
      <c r="Q2" s="381"/>
      <c r="R2" s="381"/>
      <c r="S2" s="381"/>
      <c r="T2" s="381"/>
      <c r="U2" s="381"/>
      <c r="V2" s="381"/>
    </row>
    <row r="3" spans="1:22" s="151" customFormat="1">
      <c r="A3" s="142" t="s">
        <v>179</v>
      </c>
      <c r="B3" s="182" t="s">
        <v>180</v>
      </c>
      <c r="C3" s="124">
        <f>'Aviation Assets'!E46</f>
        <v>34559</v>
      </c>
      <c r="D3" s="109">
        <f>'Aviation Assets'!G46</f>
        <v>34799</v>
      </c>
      <c r="E3" s="124">
        <f>'Aviation Assets'!H46</f>
        <v>3099</v>
      </c>
      <c r="F3" s="124">
        <f>'Aviation Assets'!I46</f>
        <v>28842</v>
      </c>
      <c r="G3" s="124">
        <f>'Aviation Assets'!J46</f>
        <v>0</v>
      </c>
      <c r="H3" s="124">
        <f>'Aviation Assets'!K46</f>
        <v>2858</v>
      </c>
      <c r="I3" s="124">
        <f>'Aviation Assets'!L46</f>
        <v>0</v>
      </c>
      <c r="J3" s="124">
        <f>'Aviation Assets'!M46</f>
        <v>0</v>
      </c>
      <c r="K3" s="138">
        <f t="shared" ref="K3:K9" si="0">SUM(E3:J3)</f>
        <v>34799</v>
      </c>
      <c r="L3" s="233">
        <f t="shared" ref="L3:L16" si="1">(K3*-$M$2)+K3</f>
        <v>34799</v>
      </c>
      <c r="M3" s="381"/>
      <c r="N3" s="252"/>
      <c r="O3" s="486"/>
      <c r="P3" s="252"/>
      <c r="Q3" s="252"/>
      <c r="R3" s="252"/>
      <c r="S3" s="252"/>
      <c r="T3" s="252"/>
      <c r="U3" s="252"/>
      <c r="V3" s="252"/>
    </row>
    <row r="4" spans="1:22" s="151" customFormat="1">
      <c r="A4" s="142" t="s">
        <v>181</v>
      </c>
      <c r="B4" s="123" t="s">
        <v>182</v>
      </c>
      <c r="C4" s="124">
        <f>+'Collaborative Imp'!E45</f>
        <v>47</v>
      </c>
      <c r="D4" s="109">
        <f>+K4</f>
        <v>45.907499999999999</v>
      </c>
      <c r="E4" s="124">
        <f>+'Collaborative Imp'!G37*'Prep%Fuelspercentage.direct'!$C$38</f>
        <v>0</v>
      </c>
      <c r="F4" s="124">
        <f>+'Collaborative Imp'!H37*'Prep%Fuelspercentage.direct'!$C$38</f>
        <v>0</v>
      </c>
      <c r="G4" s="124">
        <f>+'Collaborative Imp'!I37*'Prep%Fuelspercentage.direct'!$C$38</f>
        <v>0</v>
      </c>
      <c r="H4" s="124">
        <f>+'Collaborative Imp'!J37*'Prep%Fuelspercentage.direct'!$C$38</f>
        <v>0</v>
      </c>
      <c r="I4" s="124">
        <f>+'Collaborative Imp'!K37*'Prep%Fuelspercentage.direct'!$C$38</f>
        <v>0</v>
      </c>
      <c r="J4" s="124">
        <f>+'Collaborative Imp'!F40</f>
        <v>45.907499999999999</v>
      </c>
      <c r="K4" s="138">
        <f>SUM(E4:J4)</f>
        <v>45.907499999999999</v>
      </c>
      <c r="L4" s="233">
        <f t="shared" si="1"/>
        <v>45.907499999999999</v>
      </c>
      <c r="M4" s="228"/>
      <c r="N4" s="252"/>
      <c r="O4" s="252"/>
      <c r="P4" s="252"/>
      <c r="Q4" s="252"/>
      <c r="R4" s="252"/>
      <c r="S4" s="252"/>
      <c r="T4" s="252"/>
      <c r="U4" s="252"/>
      <c r="V4" s="252"/>
    </row>
    <row r="5" spans="1:22">
      <c r="A5" s="142" t="s">
        <v>183</v>
      </c>
      <c r="B5" s="123" t="s">
        <v>182</v>
      </c>
      <c r="C5" s="273">
        <f>'DOI prep agrmnts'!E37</f>
        <v>130</v>
      </c>
      <c r="D5" s="109">
        <f>'DOI prep agrmnts'!F37</f>
        <v>70</v>
      </c>
      <c r="E5" s="124">
        <f>'DOI prep agrmnts'!G37</f>
        <v>0</v>
      </c>
      <c r="F5" s="124">
        <f>'DOI prep agrmnts'!H37</f>
        <v>0</v>
      </c>
      <c r="G5" s="124">
        <f>'DOI prep agrmnts'!I37</f>
        <v>0</v>
      </c>
      <c r="H5" s="124">
        <f>'DOI prep agrmnts'!J37</f>
        <v>0</v>
      </c>
      <c r="I5" s="273">
        <f>('DOI prep agrmnts'!K37)</f>
        <v>0</v>
      </c>
      <c r="J5" s="273">
        <f>('DOI prep agrmnts'!L37)</f>
        <v>70</v>
      </c>
      <c r="K5" s="138">
        <f t="shared" si="0"/>
        <v>70</v>
      </c>
      <c r="L5" s="233">
        <f t="shared" si="1"/>
        <v>70</v>
      </c>
      <c r="M5" s="381"/>
      <c r="O5" s="252"/>
      <c r="P5" s="252"/>
      <c r="Q5" s="252"/>
      <c r="R5" s="252"/>
      <c r="S5" s="252"/>
      <c r="T5" s="252"/>
      <c r="U5" s="252"/>
      <c r="V5" s="252"/>
    </row>
    <row r="6" spans="1:22" s="354" customFormat="1">
      <c r="A6" s="142" t="s">
        <v>184</v>
      </c>
      <c r="B6" s="123" t="s">
        <v>182</v>
      </c>
      <c r="C6" s="273">
        <f>'ITSS Training'!E42</f>
        <v>20</v>
      </c>
      <c r="D6" s="109">
        <f>'ITSS Training'!F42</f>
        <v>5</v>
      </c>
      <c r="E6" s="124">
        <f>'ITSS Training'!G41</f>
        <v>0</v>
      </c>
      <c r="F6" s="124">
        <f>'ITSS Training'!H41</f>
        <v>5</v>
      </c>
      <c r="G6" s="124">
        <f>'ITSS Training'!I41</f>
        <v>0</v>
      </c>
      <c r="H6" s="124">
        <f>'ITSS Training'!J41</f>
        <v>0</v>
      </c>
      <c r="I6" s="124">
        <f>'ITSS Training'!K41</f>
        <v>0</v>
      </c>
      <c r="J6" s="273"/>
      <c r="K6" s="138">
        <f t="shared" si="0"/>
        <v>5</v>
      </c>
      <c r="L6" s="233">
        <f t="shared" si="1"/>
        <v>5</v>
      </c>
      <c r="M6" s="381"/>
      <c r="N6" s="252"/>
      <c r="O6" s="252"/>
      <c r="P6" s="252"/>
      <c r="Q6" s="252"/>
      <c r="R6" s="252"/>
      <c r="S6" s="252"/>
      <c r="T6" s="252"/>
      <c r="U6" s="252"/>
      <c r="V6" s="252"/>
    </row>
    <row r="7" spans="1:22">
      <c r="A7" s="573" t="s">
        <v>185</v>
      </c>
      <c r="B7" s="123" t="s">
        <v>182</v>
      </c>
      <c r="C7" s="273">
        <f>+'LLC Support'!I45</f>
        <v>198</v>
      </c>
      <c r="D7" s="109">
        <f>+K7</f>
        <v>247</v>
      </c>
      <c r="E7" s="124">
        <f>'LLC Support'!G41*'Prep%Fuelspercentage.direct'!$C38</f>
        <v>0</v>
      </c>
      <c r="F7" s="124">
        <f>'LLC Support'!H41*'Prep%Fuelspercentage.direct'!$C38</f>
        <v>0</v>
      </c>
      <c r="G7" s="124">
        <f>'LLC Support'!I41*'Prep%Fuelspercentage.direct'!$C38</f>
        <v>0</v>
      </c>
      <c r="H7" s="124">
        <f>+'LLC Support'!K45</f>
        <v>247</v>
      </c>
      <c r="I7" s="273">
        <f>'LLC Support'!K41*'Prep%Fuelspercentage.direct'!$C38</f>
        <v>0</v>
      </c>
      <c r="J7" s="273">
        <v>0</v>
      </c>
      <c r="K7" s="138">
        <f t="shared" si="0"/>
        <v>247</v>
      </c>
      <c r="L7" s="233">
        <f t="shared" si="1"/>
        <v>247</v>
      </c>
      <c r="M7" s="262"/>
      <c r="O7" s="252"/>
      <c r="P7" s="252"/>
      <c r="Q7" s="252"/>
      <c r="R7" s="252"/>
      <c r="S7" s="252"/>
      <c r="T7" s="252"/>
      <c r="U7" s="252"/>
      <c r="V7" s="252"/>
    </row>
    <row r="8" spans="1:22" s="354" customFormat="1">
      <c r="A8" s="142" t="s">
        <v>186</v>
      </c>
      <c r="B8" s="123" t="s">
        <v>182</v>
      </c>
      <c r="C8" s="273">
        <f>+'Lightning Det.'!E35</f>
        <v>39</v>
      </c>
      <c r="D8" s="109">
        <f>'Lightning Det.'!F35</f>
        <v>51</v>
      </c>
      <c r="E8" s="124">
        <f>'Lightning Det.'!G35</f>
        <v>0</v>
      </c>
      <c r="F8" s="124">
        <f>'Lightning Det.'!H35</f>
        <v>51</v>
      </c>
      <c r="G8" s="124">
        <f>'Lightning Det.'!I35</f>
        <v>0</v>
      </c>
      <c r="H8" s="124">
        <f>'Lightning Det.'!J35</f>
        <v>0</v>
      </c>
      <c r="I8" s="124">
        <f>'Lightning Det.'!K35</f>
        <v>0</v>
      </c>
      <c r="J8" s="124">
        <f>'Lightning Det.'!L35</f>
        <v>0</v>
      </c>
      <c r="K8" s="138">
        <f>SUM(E8:J8)</f>
        <v>51</v>
      </c>
      <c r="L8" s="233">
        <f>(K8*-$M$2)+K8</f>
        <v>51</v>
      </c>
      <c r="M8" s="262"/>
      <c r="N8" s="252"/>
      <c r="O8" s="252"/>
      <c r="P8" s="252"/>
      <c r="Q8" s="252"/>
      <c r="R8" s="252"/>
      <c r="S8" s="252"/>
      <c r="T8" s="252"/>
      <c r="U8" s="252"/>
      <c r="V8" s="252"/>
    </row>
    <row r="9" spans="1:22">
      <c r="A9" s="142" t="s">
        <v>187</v>
      </c>
      <c r="B9" s="123" t="s">
        <v>182</v>
      </c>
      <c r="C9" s="273">
        <f>'Med Standards Ops'!E35</f>
        <v>604</v>
      </c>
      <c r="D9" s="109">
        <f>'Med Standards Ops'!F35</f>
        <v>699</v>
      </c>
      <c r="E9" s="124">
        <f>'Med Standards Ops'!G35</f>
        <v>0</v>
      </c>
      <c r="F9" s="124">
        <f>'Med Standards Ops'!H35</f>
        <v>131</v>
      </c>
      <c r="G9" s="124">
        <f>'Med Standards Ops'!I35</f>
        <v>96</v>
      </c>
      <c r="H9" s="124">
        <f>'Med Standards Ops'!J35</f>
        <v>58</v>
      </c>
      <c r="I9" s="273">
        <f>'Med Standards Ops'!K35</f>
        <v>414</v>
      </c>
      <c r="J9" s="273">
        <f>'Med Standards Ops'!L35</f>
        <v>0</v>
      </c>
      <c r="K9" s="138">
        <f t="shared" si="0"/>
        <v>699</v>
      </c>
      <c r="L9" s="233">
        <f t="shared" si="1"/>
        <v>699</v>
      </c>
      <c r="M9" s="381"/>
      <c r="O9" s="252"/>
      <c r="P9" s="252"/>
      <c r="Q9" s="252"/>
      <c r="R9" s="252"/>
      <c r="S9" s="252"/>
      <c r="T9" s="252"/>
      <c r="U9" s="252"/>
      <c r="V9" s="252"/>
    </row>
    <row r="10" spans="1:22" s="381" customFormat="1">
      <c r="A10" s="142" t="s">
        <v>188</v>
      </c>
      <c r="B10" s="182" t="s">
        <v>182</v>
      </c>
      <c r="C10" s="273">
        <f>+'WFMRD&amp;A'!E41</f>
        <v>371</v>
      </c>
      <c r="D10" s="109">
        <f>+'WFMRD&amp;A'!F41</f>
        <v>501</v>
      </c>
      <c r="E10" s="124">
        <f>'WFMRD&amp;A'!G41</f>
        <v>0</v>
      </c>
      <c r="F10" s="124">
        <f>'WFMRD&amp;A'!H41</f>
        <v>0</v>
      </c>
      <c r="G10" s="124">
        <f>'WFMRD&amp;A'!I41</f>
        <v>0</v>
      </c>
      <c r="H10" s="124">
        <f>'WFMRD&amp;A'!J41</f>
        <v>480</v>
      </c>
      <c r="I10" s="124">
        <f>'WFMRD&amp;A'!K41</f>
        <v>0</v>
      </c>
      <c r="J10" s="124">
        <f>'WFMRD&amp;A'!L41</f>
        <v>21</v>
      </c>
      <c r="K10" s="138">
        <f t="shared" ref="K10:K16" si="2">SUM(E10:J10)</f>
        <v>501</v>
      </c>
      <c r="L10" s="233">
        <f>(K10*-$M$2)+K10</f>
        <v>501</v>
      </c>
      <c r="N10" s="252"/>
    </row>
    <row r="11" spans="1:22" s="151" customFormat="1">
      <c r="A11" s="142" t="s">
        <v>189</v>
      </c>
      <c r="B11" s="182" t="s">
        <v>190</v>
      </c>
      <c r="C11" s="124">
        <f>+'IT (WFIT) Project Summary'!C20</f>
        <v>7916</v>
      </c>
      <c r="D11" s="109">
        <f>+'IT (WFIT) Project Summary'!D20</f>
        <v>8473.5678000000007</v>
      </c>
      <c r="E11" s="124">
        <f>+'IT (WFIT) Project Summary'!E20</f>
        <v>0</v>
      </c>
      <c r="F11" s="124">
        <f>+'IT (WFIT) Project Summary'!F20</f>
        <v>1764.5506500000001</v>
      </c>
      <c r="G11" s="124">
        <f>+'IT (WFIT) Project Summary'!G20</f>
        <v>0</v>
      </c>
      <c r="H11" s="124">
        <f>+'IT (WFIT) Project Summary'!H20</f>
        <v>569</v>
      </c>
      <c r="I11" s="124">
        <f>+'IT (WFIT) Project Summary'!I20</f>
        <v>5414.7128499999999</v>
      </c>
      <c r="J11" s="124">
        <f>+'IT (WFIT) Project Summary'!J20</f>
        <v>725.3042999999999</v>
      </c>
      <c r="K11" s="138">
        <f t="shared" si="2"/>
        <v>8473.5678000000007</v>
      </c>
      <c r="L11" s="233">
        <f>(K11*-$M$2)+K11</f>
        <v>8473.5678000000007</v>
      </c>
      <c r="M11" s="381"/>
      <c r="N11" s="252"/>
      <c r="O11" s="252"/>
      <c r="P11" s="252"/>
      <c r="Q11" s="252"/>
      <c r="R11" s="252"/>
      <c r="S11" s="252"/>
      <c r="T11" s="252"/>
      <c r="U11" s="252"/>
      <c r="V11" s="252"/>
    </row>
    <row r="12" spans="1:22" s="321" customFormat="1">
      <c r="A12" s="112" t="s">
        <v>191</v>
      </c>
      <c r="B12" s="182"/>
      <c r="C12" s="124"/>
      <c r="D12" s="109"/>
      <c r="E12" s="124"/>
      <c r="F12" s="124"/>
      <c r="G12" s="124"/>
      <c r="H12" s="124"/>
      <c r="I12" s="124"/>
      <c r="J12" s="124"/>
      <c r="K12" s="138"/>
      <c r="L12" s="233"/>
      <c r="M12" s="381"/>
      <c r="N12" s="252"/>
      <c r="O12" s="252"/>
      <c r="P12" s="252"/>
      <c r="Q12" s="252"/>
      <c r="R12" s="252"/>
      <c r="S12" s="252"/>
      <c r="T12" s="252"/>
      <c r="U12" s="252"/>
      <c r="V12" s="252"/>
    </row>
    <row r="13" spans="1:22" s="321" customFormat="1">
      <c r="A13" s="142" t="s">
        <v>192</v>
      </c>
      <c r="B13" s="182" t="s">
        <v>182</v>
      </c>
      <c r="C13" s="124">
        <v>9000</v>
      </c>
      <c r="D13" s="109">
        <v>9000</v>
      </c>
      <c r="E13" s="124">
        <v>9000</v>
      </c>
      <c r="F13" s="124">
        <v>0</v>
      </c>
      <c r="G13" s="124"/>
      <c r="H13" s="124"/>
      <c r="I13" s="124"/>
      <c r="J13" s="124"/>
      <c r="K13" s="138">
        <f t="shared" si="2"/>
        <v>9000</v>
      </c>
      <c r="L13" s="233">
        <f t="shared" si="1"/>
        <v>9000</v>
      </c>
      <c r="M13" s="381"/>
      <c r="N13" s="252"/>
      <c r="O13" s="252"/>
      <c r="P13" s="252"/>
      <c r="Q13" s="252"/>
      <c r="R13" s="252"/>
      <c r="S13" s="252"/>
      <c r="T13" s="252"/>
      <c r="U13" s="252"/>
      <c r="V13" s="252"/>
    </row>
    <row r="14" spans="1:22" s="354" customFormat="1">
      <c r="A14" s="142" t="s">
        <v>193</v>
      </c>
      <c r="B14" s="182" t="s">
        <v>180</v>
      </c>
      <c r="C14" s="124">
        <v>6000</v>
      </c>
      <c r="D14" s="109">
        <v>6000</v>
      </c>
      <c r="E14" s="124">
        <v>6000</v>
      </c>
      <c r="F14" s="124">
        <v>0</v>
      </c>
      <c r="G14" s="124"/>
      <c r="H14" s="124"/>
      <c r="I14" s="124"/>
      <c r="J14" s="124"/>
      <c r="K14" s="138">
        <f t="shared" si="2"/>
        <v>6000</v>
      </c>
      <c r="L14" s="233">
        <f>(K14*-$M$2)+K14</f>
        <v>6000</v>
      </c>
      <c r="M14" s="381"/>
      <c r="N14" s="252"/>
      <c r="O14" s="252"/>
      <c r="P14" s="252"/>
      <c r="Q14" s="252"/>
      <c r="R14" s="252"/>
      <c r="S14" s="252"/>
      <c r="T14" s="252"/>
      <c r="U14" s="252"/>
      <c r="V14" s="252"/>
    </row>
    <row r="15" spans="1:22" s="354" customFormat="1">
      <c r="A15" s="142" t="s">
        <v>194</v>
      </c>
      <c r="B15" s="182" t="s">
        <v>182</v>
      </c>
      <c r="C15" s="124">
        <v>1500</v>
      </c>
      <c r="D15" s="109">
        <v>1500</v>
      </c>
      <c r="E15" s="124"/>
      <c r="F15" s="124">
        <v>1500</v>
      </c>
      <c r="G15" s="124"/>
      <c r="H15" s="124"/>
      <c r="I15" s="124"/>
      <c r="J15" s="124"/>
      <c r="K15" s="138">
        <f t="shared" si="2"/>
        <v>1500</v>
      </c>
      <c r="L15" s="233">
        <f t="shared" si="1"/>
        <v>1500</v>
      </c>
      <c r="M15" s="381"/>
      <c r="N15" s="252"/>
      <c r="O15" s="381"/>
      <c r="P15" s="381"/>
      <c r="Q15" s="381"/>
      <c r="R15" s="381"/>
      <c r="S15" s="381"/>
      <c r="T15" s="381"/>
      <c r="U15" s="381"/>
      <c r="V15" s="381"/>
    </row>
    <row r="16" spans="1:22" s="354" customFormat="1">
      <c r="A16" s="142" t="s">
        <v>195</v>
      </c>
      <c r="B16" s="182" t="s">
        <v>180</v>
      </c>
      <c r="C16" s="124">
        <v>2800</v>
      </c>
      <c r="D16" s="109">
        <v>2800</v>
      </c>
      <c r="E16" s="124">
        <f>Summary!D10*'DOI Prog&amp;SLA Summary'!$D16</f>
        <v>517.43999999999994</v>
      </c>
      <c r="F16" s="124">
        <f>Summary!E10*'DOI Prog&amp;SLA Summary'!$D16</f>
        <v>1602.72</v>
      </c>
      <c r="G16" s="124">
        <f>Summary!F10*'DOI Prog&amp;SLA Summary'!$D16</f>
        <v>301.84000000000003</v>
      </c>
      <c r="H16" s="124">
        <f>Summary!G10*'DOI Prog&amp;SLA Summary'!$D16</f>
        <v>378</v>
      </c>
      <c r="I16" s="124">
        <f>Summary!H10*'DOI Prog&amp;SLA Summary'!$D16</f>
        <v>0</v>
      </c>
      <c r="J16" s="124">
        <f>Summary!I10*'DOI Prog&amp;SLA Summary'!$D16</f>
        <v>0</v>
      </c>
      <c r="K16" s="138">
        <f t="shared" si="2"/>
        <v>2800</v>
      </c>
      <c r="L16" s="233">
        <f t="shared" si="1"/>
        <v>2800</v>
      </c>
      <c r="M16" s="381"/>
      <c r="N16" s="252"/>
      <c r="O16" s="381"/>
      <c r="P16" s="381"/>
      <c r="Q16" s="381"/>
      <c r="R16" s="381"/>
      <c r="S16" s="381"/>
      <c r="T16" s="381"/>
      <c r="U16" s="381"/>
      <c r="V16" s="381"/>
    </row>
    <row r="17" spans="1:16384" s="381" customFormat="1">
      <c r="A17" s="140" t="s">
        <v>196</v>
      </c>
      <c r="B17" s="119"/>
      <c r="C17" s="125">
        <f t="shared" ref="C17:L17" si="3">SUM(C3:C16)</f>
        <v>63184</v>
      </c>
      <c r="D17" s="141">
        <f t="shared" si="3"/>
        <v>64191.475300000006</v>
      </c>
      <c r="E17" s="125">
        <f t="shared" si="3"/>
        <v>18616.439999999999</v>
      </c>
      <c r="F17" s="125">
        <f t="shared" si="3"/>
        <v>33896.270649999999</v>
      </c>
      <c r="G17" s="125">
        <f t="shared" si="3"/>
        <v>397.84000000000003</v>
      </c>
      <c r="H17" s="125">
        <f t="shared" si="3"/>
        <v>4590</v>
      </c>
      <c r="I17" s="125">
        <f t="shared" si="3"/>
        <v>5828.7128499999999</v>
      </c>
      <c r="J17" s="125">
        <f t="shared" si="3"/>
        <v>862.21179999999993</v>
      </c>
      <c r="K17" s="137">
        <f t="shared" si="3"/>
        <v>64191.475300000006</v>
      </c>
      <c r="L17" s="235">
        <f t="shared" si="3"/>
        <v>64191.475300000006</v>
      </c>
      <c r="N17" s="252"/>
      <c r="O17" s="252"/>
      <c r="P17" s="252"/>
      <c r="Q17" s="252"/>
      <c r="R17" s="252"/>
      <c r="S17" s="252"/>
      <c r="T17" s="252"/>
      <c r="U17" s="252"/>
      <c r="V17" s="252"/>
    </row>
    <row r="18" spans="1:16384" s="151" customFormat="1">
      <c r="A18" s="229" t="s">
        <v>197</v>
      </c>
      <c r="B18" s="230"/>
      <c r="C18" s="231"/>
      <c r="D18" s="232"/>
      <c r="E18" s="231">
        <f t="shared" ref="E18:J18" si="4">(E17*-$M$2)+E17</f>
        <v>18616.439999999999</v>
      </c>
      <c r="F18" s="231">
        <f t="shared" si="4"/>
        <v>33896.270649999999</v>
      </c>
      <c r="G18" s="231">
        <f t="shared" si="4"/>
        <v>397.84000000000003</v>
      </c>
      <c r="H18" s="231">
        <f t="shared" si="4"/>
        <v>4590</v>
      </c>
      <c r="I18" s="231">
        <f t="shared" si="4"/>
        <v>5828.7128499999999</v>
      </c>
      <c r="J18" s="231">
        <f t="shared" si="4"/>
        <v>862.21179999999993</v>
      </c>
      <c r="K18" s="517">
        <f>SUM(E18:J18)</f>
        <v>64191.475299999984</v>
      </c>
      <c r="L18" s="231"/>
      <c r="M18" s="399"/>
      <c r="N18" s="252"/>
      <c r="O18" s="252"/>
      <c r="P18" s="252"/>
      <c r="Q18" s="252"/>
      <c r="R18" s="252"/>
      <c r="S18" s="252"/>
      <c r="T18" s="252"/>
      <c r="U18" s="252"/>
      <c r="V18" s="252"/>
      <c r="W18" s="401"/>
      <c r="X18" s="401"/>
      <c r="Y18" s="399"/>
      <c r="Z18" s="182"/>
      <c r="AA18" s="401"/>
      <c r="AB18" s="401"/>
      <c r="AC18" s="401"/>
      <c r="AD18" s="401"/>
      <c r="AE18" s="401"/>
      <c r="AF18" s="401"/>
      <c r="AG18" s="401"/>
      <c r="AH18" s="401"/>
      <c r="AI18" s="401"/>
      <c r="AJ18" s="231"/>
      <c r="AK18" s="229"/>
      <c r="AL18" s="230"/>
      <c r="AM18" s="231"/>
      <c r="AN18" s="232"/>
      <c r="AO18" s="233"/>
      <c r="AP18" s="233"/>
      <c r="AQ18" s="233"/>
      <c r="AR18" s="233"/>
      <c r="AS18" s="233"/>
      <c r="AT18" s="233"/>
      <c r="AU18" s="231"/>
      <c r="AV18" s="231"/>
      <c r="AW18" s="229"/>
      <c r="AX18" s="230"/>
      <c r="AY18" s="231"/>
      <c r="AZ18" s="232"/>
      <c r="BA18" s="233"/>
      <c r="BB18" s="233"/>
      <c r="BC18" s="233"/>
      <c r="BD18" s="233"/>
      <c r="BE18" s="233"/>
      <c r="BF18" s="233"/>
      <c r="BG18" s="231"/>
      <c r="BH18" s="231"/>
      <c r="BI18" s="229"/>
      <c r="BJ18" s="230"/>
      <c r="BK18" s="231"/>
      <c r="BL18" s="232"/>
      <c r="BM18" s="233"/>
      <c r="BN18" s="233"/>
      <c r="BO18" s="233"/>
      <c r="BP18" s="233"/>
      <c r="BQ18" s="233"/>
      <c r="BR18" s="233"/>
      <c r="BS18" s="231"/>
      <c r="BT18" s="231"/>
      <c r="BU18" s="229"/>
      <c r="BV18" s="230"/>
      <c r="BW18" s="231"/>
      <c r="BX18" s="232"/>
      <c r="BY18" s="233"/>
      <c r="BZ18" s="233"/>
      <c r="CA18" s="233"/>
      <c r="CB18" s="233"/>
      <c r="CC18" s="233"/>
      <c r="CD18" s="233"/>
      <c r="CE18" s="231"/>
      <c r="CF18" s="231"/>
      <c r="CG18" s="229"/>
      <c r="CH18" s="230"/>
      <c r="CI18" s="231"/>
      <c r="CJ18" s="232"/>
      <c r="CK18" s="233"/>
      <c r="CL18" s="233"/>
      <c r="CM18" s="233"/>
      <c r="CN18" s="233"/>
      <c r="CO18" s="233"/>
      <c r="CP18" s="233"/>
      <c r="CQ18" s="231"/>
      <c r="CR18" s="231"/>
      <c r="CS18" s="229"/>
      <c r="CT18" s="230"/>
      <c r="CU18" s="231"/>
      <c r="CV18" s="232"/>
      <c r="CW18" s="233"/>
      <c r="CX18" s="233"/>
      <c r="CY18" s="233"/>
      <c r="CZ18" s="233"/>
      <c r="DA18" s="233"/>
      <c r="DB18" s="233"/>
      <c r="DC18" s="231"/>
      <c r="DD18" s="231"/>
      <c r="DE18" s="229"/>
      <c r="DF18" s="230"/>
      <c r="DG18" s="231"/>
      <c r="DH18" s="232"/>
      <c r="DI18" s="233"/>
      <c r="DJ18" s="233"/>
      <c r="DK18" s="233"/>
      <c r="DL18" s="233"/>
      <c r="DM18" s="233"/>
      <c r="DN18" s="233"/>
      <c r="DO18" s="231"/>
      <c r="DP18" s="231"/>
      <c r="DQ18" s="229"/>
      <c r="DR18" s="230"/>
      <c r="DS18" s="231"/>
      <c r="DT18" s="232"/>
      <c r="DU18" s="233"/>
      <c r="DV18" s="233"/>
      <c r="DW18" s="233"/>
      <c r="DX18" s="233"/>
      <c r="DY18" s="233"/>
      <c r="DZ18" s="233"/>
      <c r="EA18" s="231"/>
      <c r="EB18" s="231"/>
      <c r="EC18" s="229"/>
      <c r="ED18" s="230"/>
      <c r="EE18" s="231"/>
      <c r="EF18" s="232"/>
      <c r="EG18" s="233"/>
      <c r="EH18" s="233"/>
      <c r="EI18" s="233"/>
      <c r="EJ18" s="233"/>
      <c r="EK18" s="233"/>
      <c r="EL18" s="233"/>
      <c r="EM18" s="231"/>
      <c r="EN18" s="231"/>
      <c r="EO18" s="229"/>
      <c r="EP18" s="230"/>
      <c r="EQ18" s="231"/>
      <c r="ER18" s="232"/>
      <c r="ES18" s="233"/>
      <c r="ET18" s="233"/>
      <c r="EU18" s="233"/>
      <c r="EV18" s="233"/>
      <c r="EW18" s="233"/>
      <c r="EX18" s="233"/>
      <c r="EY18" s="231"/>
      <c r="EZ18" s="231"/>
      <c r="FA18" s="229"/>
      <c r="FB18" s="230"/>
      <c r="FC18" s="231"/>
      <c r="FD18" s="232"/>
      <c r="FE18" s="233"/>
      <c r="FF18" s="233"/>
      <c r="FG18" s="233"/>
      <c r="FH18" s="233"/>
      <c r="FI18" s="233"/>
      <c r="FJ18" s="233"/>
      <c r="FK18" s="231"/>
      <c r="FL18" s="231"/>
      <c r="FM18" s="229"/>
      <c r="FN18" s="230"/>
      <c r="FO18" s="231"/>
      <c r="FP18" s="232"/>
      <c r="FQ18" s="233"/>
      <c r="FR18" s="233"/>
      <c r="FS18" s="233"/>
      <c r="FT18" s="233"/>
      <c r="FU18" s="233"/>
      <c r="FV18" s="233"/>
      <c r="FW18" s="231"/>
      <c r="FX18" s="231"/>
      <c r="FY18" s="229"/>
      <c r="FZ18" s="230"/>
      <c r="GA18" s="231"/>
      <c r="GB18" s="232"/>
      <c r="GC18" s="233"/>
      <c r="GD18" s="233"/>
      <c r="GE18" s="233"/>
      <c r="GF18" s="233"/>
      <c r="GG18" s="233"/>
      <c r="GH18" s="233"/>
      <c r="GI18" s="231"/>
      <c r="GJ18" s="231"/>
      <c r="GK18" s="229"/>
      <c r="GL18" s="230"/>
      <c r="GM18" s="231"/>
      <c r="GN18" s="232"/>
      <c r="GO18" s="233"/>
      <c r="GP18" s="233"/>
      <c r="GQ18" s="233"/>
      <c r="GR18" s="233"/>
      <c r="GS18" s="233"/>
      <c r="GT18" s="233"/>
      <c r="GU18" s="231"/>
      <c r="GV18" s="231"/>
      <c r="GW18" s="229"/>
      <c r="GX18" s="230"/>
      <c r="GY18" s="231"/>
      <c r="GZ18" s="232"/>
      <c r="HA18" s="233"/>
      <c r="HB18" s="233"/>
      <c r="HC18" s="233"/>
      <c r="HD18" s="233"/>
      <c r="HE18" s="233"/>
      <c r="HF18" s="233"/>
      <c r="HG18" s="231"/>
      <c r="HH18" s="231"/>
      <c r="HI18" s="229"/>
      <c r="HJ18" s="230"/>
      <c r="HK18" s="231"/>
      <c r="HL18" s="232"/>
      <c r="HM18" s="233"/>
      <c r="HN18" s="233"/>
      <c r="HO18" s="233"/>
      <c r="HP18" s="233"/>
      <c r="HQ18" s="233"/>
      <c r="HR18" s="233"/>
      <c r="HS18" s="231"/>
      <c r="HT18" s="231"/>
      <c r="HU18" s="229"/>
      <c r="HV18" s="230"/>
      <c r="HW18" s="231"/>
      <c r="HX18" s="232"/>
      <c r="HY18" s="233"/>
      <c r="HZ18" s="233"/>
      <c r="IA18" s="233"/>
      <c r="IB18" s="233"/>
      <c r="IC18" s="233"/>
      <c r="ID18" s="233"/>
      <c r="IE18" s="231"/>
      <c r="IF18" s="231"/>
      <c r="IG18" s="229"/>
      <c r="IH18" s="230"/>
      <c r="II18" s="231"/>
      <c r="IJ18" s="232"/>
      <c r="IK18" s="233"/>
      <c r="IL18" s="233"/>
      <c r="IM18" s="233"/>
      <c r="IN18" s="233"/>
      <c r="IO18" s="233"/>
      <c r="IP18" s="233"/>
      <c r="IQ18" s="231"/>
      <c r="IR18" s="231"/>
      <c r="IS18" s="229"/>
      <c r="IT18" s="230"/>
      <c r="IU18" s="231"/>
      <c r="IV18" s="232"/>
      <c r="IW18" s="233"/>
      <c r="IX18" s="233"/>
      <c r="IY18" s="233"/>
      <c r="IZ18" s="233"/>
      <c r="JA18" s="233"/>
      <c r="JB18" s="233"/>
      <c r="JC18" s="231"/>
      <c r="JD18" s="231"/>
      <c r="JE18" s="229"/>
      <c r="JF18" s="230"/>
      <c r="JG18" s="231"/>
      <c r="JH18" s="232"/>
      <c r="JI18" s="233"/>
      <c r="JJ18" s="233"/>
      <c r="JK18" s="233"/>
      <c r="JL18" s="233"/>
      <c r="JM18" s="233"/>
      <c r="JN18" s="233"/>
      <c r="JO18" s="231"/>
      <c r="JP18" s="231"/>
      <c r="JQ18" s="229"/>
      <c r="JR18" s="230"/>
      <c r="JS18" s="231"/>
      <c r="JT18" s="232"/>
      <c r="JU18" s="233"/>
      <c r="JV18" s="233"/>
      <c r="JW18" s="233"/>
      <c r="JX18" s="233"/>
      <c r="JY18" s="233"/>
      <c r="JZ18" s="233"/>
      <c r="KA18" s="231"/>
      <c r="KB18" s="231"/>
      <c r="KC18" s="229"/>
      <c r="KD18" s="230"/>
      <c r="KE18" s="231"/>
      <c r="KF18" s="232"/>
      <c r="KG18" s="233"/>
      <c r="KH18" s="233"/>
      <c r="KI18" s="233"/>
      <c r="KJ18" s="233"/>
      <c r="KK18" s="233"/>
      <c r="KL18" s="233"/>
      <c r="KM18" s="231"/>
      <c r="KN18" s="231"/>
      <c r="KO18" s="229"/>
      <c r="KP18" s="230"/>
      <c r="KQ18" s="231"/>
      <c r="KR18" s="232"/>
      <c r="KS18" s="233"/>
      <c r="KT18" s="233"/>
      <c r="KU18" s="233"/>
      <c r="KV18" s="233"/>
      <c r="KW18" s="233"/>
      <c r="KX18" s="233"/>
      <c r="KY18" s="231"/>
      <c r="KZ18" s="231"/>
      <c r="LA18" s="229"/>
      <c r="LB18" s="230"/>
      <c r="LC18" s="231"/>
      <c r="LD18" s="232"/>
      <c r="LE18" s="233"/>
      <c r="LF18" s="233"/>
      <c r="LG18" s="233"/>
      <c r="LH18" s="233"/>
      <c r="LI18" s="233"/>
      <c r="LJ18" s="233"/>
      <c r="LK18" s="231"/>
      <c r="LL18" s="231"/>
      <c r="LM18" s="229"/>
      <c r="LN18" s="230"/>
      <c r="LO18" s="231"/>
      <c r="LP18" s="232"/>
      <c r="LQ18" s="233"/>
      <c r="LR18" s="233"/>
      <c r="LS18" s="233"/>
      <c r="LT18" s="233"/>
      <c r="LU18" s="233"/>
      <c r="LV18" s="233"/>
      <c r="LW18" s="231"/>
      <c r="LX18" s="231"/>
      <c r="LY18" s="229"/>
      <c r="LZ18" s="230"/>
      <c r="MA18" s="231"/>
      <c r="MB18" s="232"/>
      <c r="MC18" s="233"/>
      <c r="MD18" s="233"/>
      <c r="ME18" s="233"/>
      <c r="MF18" s="233"/>
      <c r="MG18" s="233"/>
      <c r="MH18" s="233"/>
      <c r="MI18" s="231"/>
      <c r="MJ18" s="231"/>
      <c r="MK18" s="229"/>
      <c r="ML18" s="230"/>
      <c r="MM18" s="231"/>
      <c r="MN18" s="232"/>
      <c r="MO18" s="233"/>
      <c r="MP18" s="233"/>
      <c r="MQ18" s="233"/>
      <c r="MR18" s="233"/>
      <c r="MS18" s="233"/>
      <c r="MT18" s="233"/>
      <c r="MU18" s="231"/>
      <c r="MV18" s="231"/>
      <c r="MW18" s="229"/>
      <c r="MX18" s="230"/>
      <c r="MY18" s="231"/>
      <c r="MZ18" s="232"/>
      <c r="NA18" s="233"/>
      <c r="NB18" s="233"/>
      <c r="NC18" s="233"/>
      <c r="ND18" s="233"/>
      <c r="NE18" s="233"/>
      <c r="NF18" s="233"/>
      <c r="NG18" s="231"/>
      <c r="NH18" s="231"/>
      <c r="NI18" s="229"/>
      <c r="NJ18" s="230"/>
      <c r="NK18" s="231"/>
      <c r="NL18" s="232"/>
      <c r="NM18" s="233"/>
      <c r="NN18" s="233"/>
      <c r="NO18" s="233"/>
      <c r="NP18" s="233"/>
      <c r="NQ18" s="233"/>
      <c r="NR18" s="233"/>
      <c r="NS18" s="231"/>
      <c r="NT18" s="231"/>
      <c r="NU18" s="229"/>
      <c r="NV18" s="230"/>
      <c r="NW18" s="231"/>
      <c r="NX18" s="232"/>
      <c r="NY18" s="233"/>
      <c r="NZ18" s="233"/>
      <c r="OA18" s="233"/>
      <c r="OB18" s="233"/>
      <c r="OC18" s="233"/>
      <c r="OD18" s="233"/>
      <c r="OE18" s="231"/>
      <c r="OF18" s="231"/>
      <c r="OG18" s="229"/>
      <c r="OH18" s="230"/>
      <c r="OI18" s="231"/>
      <c r="OJ18" s="232"/>
      <c r="OK18" s="233"/>
      <c r="OL18" s="233"/>
      <c r="OM18" s="233"/>
      <c r="ON18" s="233"/>
      <c r="OO18" s="233"/>
      <c r="OP18" s="233"/>
      <c r="OQ18" s="231"/>
      <c r="OR18" s="231"/>
      <c r="OS18" s="229"/>
      <c r="OT18" s="230"/>
      <c r="OU18" s="231"/>
      <c r="OV18" s="232"/>
      <c r="OW18" s="233"/>
      <c r="OX18" s="233"/>
      <c r="OY18" s="233"/>
      <c r="OZ18" s="233"/>
      <c r="PA18" s="233"/>
      <c r="PB18" s="233"/>
      <c r="PC18" s="231"/>
      <c r="PD18" s="231"/>
      <c r="PE18" s="229"/>
      <c r="PF18" s="230"/>
      <c r="PG18" s="231"/>
      <c r="PH18" s="232"/>
      <c r="PI18" s="233"/>
      <c r="PJ18" s="233"/>
      <c r="PK18" s="233"/>
      <c r="PL18" s="233"/>
      <c r="PM18" s="233"/>
      <c r="PN18" s="233"/>
      <c r="PO18" s="231"/>
      <c r="PP18" s="231"/>
      <c r="PQ18" s="229"/>
      <c r="PR18" s="230"/>
      <c r="PS18" s="231"/>
      <c r="PT18" s="232"/>
      <c r="PU18" s="233"/>
      <c r="PV18" s="233"/>
      <c r="PW18" s="233"/>
      <c r="PX18" s="233"/>
      <c r="PY18" s="233"/>
      <c r="PZ18" s="233"/>
      <c r="QA18" s="231"/>
      <c r="QB18" s="231"/>
      <c r="QC18" s="229"/>
      <c r="QD18" s="230"/>
      <c r="QE18" s="231"/>
      <c r="QF18" s="232"/>
      <c r="QG18" s="233"/>
      <c r="QH18" s="233"/>
      <c r="QI18" s="233"/>
      <c r="QJ18" s="233"/>
      <c r="QK18" s="233"/>
      <c r="QL18" s="233"/>
      <c r="QM18" s="231"/>
      <c r="QN18" s="231"/>
      <c r="QO18" s="229"/>
      <c r="QP18" s="230"/>
      <c r="QQ18" s="231"/>
      <c r="QR18" s="232"/>
      <c r="QS18" s="233"/>
      <c r="QT18" s="233"/>
      <c r="QU18" s="233"/>
      <c r="QV18" s="233"/>
      <c r="QW18" s="233"/>
      <c r="QX18" s="233"/>
      <c r="QY18" s="231"/>
      <c r="QZ18" s="231"/>
      <c r="RA18" s="229"/>
      <c r="RB18" s="230"/>
      <c r="RC18" s="231"/>
      <c r="RD18" s="232"/>
      <c r="RE18" s="233"/>
      <c r="RF18" s="233"/>
      <c r="RG18" s="233"/>
      <c r="RH18" s="233"/>
      <c r="RI18" s="233"/>
      <c r="RJ18" s="233"/>
      <c r="RK18" s="231"/>
      <c r="RL18" s="231"/>
      <c r="RM18" s="229"/>
      <c r="RN18" s="230"/>
      <c r="RO18" s="231"/>
      <c r="RP18" s="232"/>
      <c r="RQ18" s="233"/>
      <c r="RR18" s="233"/>
      <c r="RS18" s="233"/>
      <c r="RT18" s="233"/>
      <c r="RU18" s="233"/>
      <c r="RV18" s="233"/>
      <c r="RW18" s="231"/>
      <c r="RX18" s="231"/>
      <c r="RY18" s="229"/>
      <c r="RZ18" s="230"/>
      <c r="SA18" s="231"/>
      <c r="SB18" s="232"/>
      <c r="SC18" s="233"/>
      <c r="SD18" s="233"/>
      <c r="SE18" s="233"/>
      <c r="SF18" s="233"/>
      <c r="SG18" s="233"/>
      <c r="SH18" s="233"/>
      <c r="SI18" s="231"/>
      <c r="SJ18" s="231"/>
      <c r="SK18" s="229"/>
      <c r="SL18" s="230"/>
      <c r="SM18" s="231"/>
      <c r="SN18" s="232"/>
      <c r="SO18" s="233"/>
      <c r="SP18" s="233"/>
      <c r="SQ18" s="233"/>
      <c r="SR18" s="233"/>
      <c r="SS18" s="233"/>
      <c r="ST18" s="233"/>
      <c r="SU18" s="231"/>
      <c r="SV18" s="231"/>
      <c r="SW18" s="229"/>
      <c r="SX18" s="230"/>
      <c r="SY18" s="231"/>
      <c r="SZ18" s="232"/>
      <c r="TA18" s="233"/>
      <c r="TB18" s="233"/>
      <c r="TC18" s="233"/>
      <c r="TD18" s="233"/>
      <c r="TE18" s="233"/>
      <c r="TF18" s="233"/>
      <c r="TG18" s="231"/>
      <c r="TH18" s="231"/>
      <c r="TI18" s="229"/>
      <c r="TJ18" s="230"/>
      <c r="TK18" s="231"/>
      <c r="TL18" s="232"/>
      <c r="TM18" s="233"/>
      <c r="TN18" s="233"/>
      <c r="TO18" s="233"/>
      <c r="TP18" s="233"/>
      <c r="TQ18" s="233"/>
      <c r="TR18" s="233"/>
      <c r="TS18" s="231"/>
      <c r="TT18" s="231"/>
      <c r="TU18" s="229"/>
      <c r="TV18" s="230"/>
      <c r="TW18" s="231"/>
      <c r="TX18" s="232"/>
      <c r="TY18" s="233"/>
      <c r="TZ18" s="233"/>
      <c r="UA18" s="233"/>
      <c r="UB18" s="233"/>
      <c r="UC18" s="233"/>
      <c r="UD18" s="233"/>
      <c r="UE18" s="231"/>
      <c r="UF18" s="231"/>
      <c r="UG18" s="229"/>
      <c r="UH18" s="230"/>
      <c r="UI18" s="231"/>
      <c r="UJ18" s="232"/>
      <c r="UK18" s="233"/>
      <c r="UL18" s="233"/>
      <c r="UM18" s="233"/>
      <c r="UN18" s="233"/>
      <c r="UO18" s="233"/>
      <c r="UP18" s="233"/>
      <c r="UQ18" s="231"/>
      <c r="UR18" s="231"/>
      <c r="US18" s="229"/>
      <c r="UT18" s="230"/>
      <c r="UU18" s="231"/>
      <c r="UV18" s="232"/>
      <c r="UW18" s="233"/>
      <c r="UX18" s="233"/>
      <c r="UY18" s="233"/>
      <c r="UZ18" s="233"/>
      <c r="VA18" s="233"/>
      <c r="VB18" s="233"/>
      <c r="VC18" s="231"/>
      <c r="VD18" s="231"/>
      <c r="VE18" s="229"/>
      <c r="VF18" s="230"/>
      <c r="VG18" s="231"/>
      <c r="VH18" s="232"/>
      <c r="VI18" s="233"/>
      <c r="VJ18" s="233"/>
      <c r="VK18" s="233"/>
      <c r="VL18" s="233"/>
      <c r="VM18" s="233"/>
      <c r="VN18" s="233"/>
      <c r="VO18" s="231"/>
      <c r="VP18" s="231"/>
      <c r="VQ18" s="229"/>
      <c r="VR18" s="230"/>
      <c r="VS18" s="231"/>
      <c r="VT18" s="232"/>
      <c r="VU18" s="233"/>
      <c r="VV18" s="233"/>
      <c r="VW18" s="233"/>
      <c r="VX18" s="233"/>
      <c r="VY18" s="233"/>
      <c r="VZ18" s="233"/>
      <c r="WA18" s="231"/>
      <c r="WB18" s="231"/>
      <c r="WC18" s="229"/>
      <c r="WD18" s="230"/>
      <c r="WE18" s="231"/>
      <c r="WF18" s="232"/>
      <c r="WG18" s="233"/>
      <c r="WH18" s="233"/>
      <c r="WI18" s="233"/>
      <c r="WJ18" s="233"/>
      <c r="WK18" s="233"/>
      <c r="WL18" s="233"/>
      <c r="WM18" s="231"/>
      <c r="WN18" s="231"/>
      <c r="WO18" s="229"/>
      <c r="WP18" s="230"/>
      <c r="WQ18" s="231"/>
      <c r="WR18" s="232"/>
      <c r="WS18" s="233"/>
      <c r="WT18" s="233"/>
      <c r="WU18" s="233"/>
      <c r="WV18" s="233"/>
      <c r="WW18" s="233"/>
      <c r="WX18" s="233"/>
      <c r="WY18" s="231"/>
      <c r="WZ18" s="231"/>
      <c r="XA18" s="229"/>
      <c r="XB18" s="230"/>
      <c r="XC18" s="231"/>
      <c r="XD18" s="232"/>
      <c r="XE18" s="233"/>
      <c r="XF18" s="233"/>
      <c r="XG18" s="233"/>
      <c r="XH18" s="233"/>
      <c r="XI18" s="233"/>
      <c r="XJ18" s="233"/>
      <c r="XK18" s="231"/>
      <c r="XL18" s="231"/>
      <c r="XM18" s="229"/>
      <c r="XN18" s="230"/>
      <c r="XO18" s="231"/>
      <c r="XP18" s="232"/>
      <c r="XQ18" s="233"/>
      <c r="XR18" s="233"/>
      <c r="XS18" s="233"/>
      <c r="XT18" s="233"/>
      <c r="XU18" s="233"/>
      <c r="XV18" s="233"/>
      <c r="XW18" s="231"/>
      <c r="XX18" s="231"/>
      <c r="XY18" s="229"/>
      <c r="XZ18" s="230"/>
      <c r="YA18" s="231"/>
      <c r="YB18" s="232"/>
      <c r="YC18" s="233"/>
      <c r="YD18" s="233"/>
      <c r="YE18" s="233"/>
      <c r="YF18" s="233"/>
      <c r="YG18" s="233"/>
      <c r="YH18" s="233"/>
      <c r="YI18" s="231"/>
      <c r="YJ18" s="231"/>
      <c r="YK18" s="229"/>
      <c r="YL18" s="230"/>
      <c r="YM18" s="231"/>
      <c r="YN18" s="232"/>
      <c r="YO18" s="233"/>
      <c r="YP18" s="233"/>
      <c r="YQ18" s="233"/>
      <c r="YR18" s="233"/>
      <c r="YS18" s="233"/>
      <c r="YT18" s="233"/>
      <c r="YU18" s="231"/>
      <c r="YV18" s="231"/>
      <c r="YW18" s="229"/>
      <c r="YX18" s="230"/>
      <c r="YY18" s="231"/>
      <c r="YZ18" s="232"/>
      <c r="ZA18" s="233"/>
      <c r="ZB18" s="233"/>
      <c r="ZC18" s="233"/>
      <c r="ZD18" s="233"/>
      <c r="ZE18" s="233"/>
      <c r="ZF18" s="233"/>
      <c r="ZG18" s="231"/>
      <c r="ZH18" s="231"/>
      <c r="ZI18" s="229"/>
      <c r="ZJ18" s="230"/>
      <c r="ZK18" s="231"/>
      <c r="ZL18" s="232"/>
      <c r="ZM18" s="233"/>
      <c r="ZN18" s="233"/>
      <c r="ZO18" s="233"/>
      <c r="ZP18" s="233"/>
      <c r="ZQ18" s="233"/>
      <c r="ZR18" s="233"/>
      <c r="ZS18" s="231"/>
      <c r="ZT18" s="231"/>
      <c r="ZU18" s="229"/>
      <c r="ZV18" s="230"/>
      <c r="ZW18" s="231"/>
      <c r="ZX18" s="232"/>
      <c r="ZY18" s="233"/>
      <c r="ZZ18" s="233"/>
      <c r="AAA18" s="233"/>
      <c r="AAB18" s="233"/>
      <c r="AAC18" s="233"/>
      <c r="AAD18" s="233"/>
      <c r="AAE18" s="231"/>
      <c r="AAF18" s="231"/>
      <c r="AAG18" s="229"/>
      <c r="AAH18" s="230"/>
      <c r="AAI18" s="231"/>
      <c r="AAJ18" s="232"/>
      <c r="AAK18" s="233"/>
      <c r="AAL18" s="233"/>
      <c r="AAM18" s="233"/>
      <c r="AAN18" s="233"/>
      <c r="AAO18" s="233"/>
      <c r="AAP18" s="233"/>
      <c r="AAQ18" s="231"/>
      <c r="AAR18" s="231"/>
      <c r="AAS18" s="229"/>
      <c r="AAT18" s="230"/>
      <c r="AAU18" s="231"/>
      <c r="AAV18" s="232"/>
      <c r="AAW18" s="233"/>
      <c r="AAX18" s="233"/>
      <c r="AAY18" s="233"/>
      <c r="AAZ18" s="233"/>
      <c r="ABA18" s="233"/>
      <c r="ABB18" s="233"/>
      <c r="ABC18" s="231"/>
      <c r="ABD18" s="231"/>
      <c r="ABE18" s="229"/>
      <c r="ABF18" s="230"/>
      <c r="ABG18" s="231"/>
      <c r="ABH18" s="232"/>
      <c r="ABI18" s="233"/>
      <c r="ABJ18" s="233"/>
      <c r="ABK18" s="233"/>
      <c r="ABL18" s="233"/>
      <c r="ABM18" s="233"/>
      <c r="ABN18" s="233"/>
      <c r="ABO18" s="231"/>
      <c r="ABP18" s="231"/>
      <c r="ABQ18" s="229"/>
      <c r="ABR18" s="230"/>
      <c r="ABS18" s="231"/>
      <c r="ABT18" s="232"/>
      <c r="ABU18" s="233"/>
      <c r="ABV18" s="233"/>
      <c r="ABW18" s="233"/>
      <c r="ABX18" s="233"/>
      <c r="ABY18" s="233"/>
      <c r="ABZ18" s="233"/>
      <c r="ACA18" s="231"/>
      <c r="ACB18" s="231"/>
      <c r="ACC18" s="229"/>
      <c r="ACD18" s="230"/>
      <c r="ACE18" s="231"/>
      <c r="ACF18" s="232"/>
      <c r="ACG18" s="233"/>
      <c r="ACH18" s="233"/>
      <c r="ACI18" s="233"/>
      <c r="ACJ18" s="233"/>
      <c r="ACK18" s="233"/>
      <c r="ACL18" s="233"/>
      <c r="ACM18" s="231"/>
      <c r="ACN18" s="231"/>
      <c r="ACO18" s="229"/>
      <c r="ACP18" s="230"/>
      <c r="ACQ18" s="231"/>
      <c r="ACR18" s="232"/>
      <c r="ACS18" s="233"/>
      <c r="ACT18" s="233"/>
      <c r="ACU18" s="233"/>
      <c r="ACV18" s="233"/>
      <c r="ACW18" s="233"/>
      <c r="ACX18" s="233"/>
      <c r="ACY18" s="231"/>
      <c r="ACZ18" s="231"/>
      <c r="ADA18" s="229"/>
      <c r="ADB18" s="230"/>
      <c r="ADC18" s="231"/>
      <c r="ADD18" s="232"/>
      <c r="ADE18" s="233"/>
      <c r="ADF18" s="233"/>
      <c r="ADG18" s="233"/>
      <c r="ADH18" s="233"/>
      <c r="ADI18" s="233"/>
      <c r="ADJ18" s="233"/>
      <c r="ADK18" s="231"/>
      <c r="ADL18" s="231"/>
      <c r="ADM18" s="229"/>
      <c r="ADN18" s="230"/>
      <c r="ADO18" s="231"/>
      <c r="ADP18" s="232"/>
      <c r="ADQ18" s="233"/>
      <c r="ADR18" s="233"/>
      <c r="ADS18" s="233"/>
      <c r="ADT18" s="233"/>
      <c r="ADU18" s="233"/>
      <c r="ADV18" s="233"/>
      <c r="ADW18" s="231"/>
      <c r="ADX18" s="231"/>
      <c r="ADY18" s="229"/>
      <c r="ADZ18" s="230"/>
      <c r="AEA18" s="231"/>
      <c r="AEB18" s="232"/>
      <c r="AEC18" s="233"/>
      <c r="AED18" s="233"/>
      <c r="AEE18" s="233"/>
      <c r="AEF18" s="233"/>
      <c r="AEG18" s="233"/>
      <c r="AEH18" s="233"/>
      <c r="AEI18" s="231"/>
      <c r="AEJ18" s="231"/>
      <c r="AEK18" s="229"/>
      <c r="AEL18" s="230"/>
      <c r="AEM18" s="231"/>
      <c r="AEN18" s="232"/>
      <c r="AEO18" s="233"/>
      <c r="AEP18" s="233"/>
      <c r="AEQ18" s="233"/>
      <c r="AER18" s="233"/>
      <c r="AES18" s="233"/>
      <c r="AET18" s="233"/>
      <c r="AEU18" s="231"/>
      <c r="AEV18" s="231"/>
      <c r="AEW18" s="229"/>
      <c r="AEX18" s="230"/>
      <c r="AEY18" s="231"/>
      <c r="AEZ18" s="232"/>
      <c r="AFA18" s="233"/>
      <c r="AFB18" s="233"/>
      <c r="AFC18" s="233"/>
      <c r="AFD18" s="233"/>
      <c r="AFE18" s="233"/>
      <c r="AFF18" s="233"/>
      <c r="AFG18" s="231"/>
      <c r="AFH18" s="231"/>
      <c r="AFI18" s="229"/>
      <c r="AFJ18" s="230"/>
      <c r="AFK18" s="231"/>
      <c r="AFL18" s="232"/>
      <c r="AFM18" s="233"/>
      <c r="AFN18" s="233"/>
      <c r="AFO18" s="233"/>
      <c r="AFP18" s="233"/>
      <c r="AFQ18" s="233"/>
      <c r="AFR18" s="233"/>
      <c r="AFS18" s="231"/>
      <c r="AFT18" s="231"/>
      <c r="AFU18" s="229"/>
      <c r="AFV18" s="230"/>
      <c r="AFW18" s="231"/>
      <c r="AFX18" s="232"/>
      <c r="AFY18" s="233"/>
      <c r="AFZ18" s="233"/>
      <c r="AGA18" s="233"/>
      <c r="AGB18" s="233"/>
      <c r="AGC18" s="233"/>
      <c r="AGD18" s="233"/>
      <c r="AGE18" s="231"/>
      <c r="AGF18" s="231"/>
      <c r="AGG18" s="229"/>
      <c r="AGH18" s="230"/>
      <c r="AGI18" s="231"/>
      <c r="AGJ18" s="232"/>
      <c r="AGK18" s="233"/>
      <c r="AGL18" s="233"/>
      <c r="AGM18" s="233"/>
      <c r="AGN18" s="233"/>
      <c r="AGO18" s="233"/>
      <c r="AGP18" s="233"/>
      <c r="AGQ18" s="231"/>
      <c r="AGR18" s="231"/>
      <c r="AGS18" s="229"/>
      <c r="AGT18" s="230"/>
      <c r="AGU18" s="231"/>
      <c r="AGV18" s="232"/>
      <c r="AGW18" s="233"/>
      <c r="AGX18" s="233"/>
      <c r="AGY18" s="233"/>
      <c r="AGZ18" s="233"/>
      <c r="AHA18" s="233"/>
      <c r="AHB18" s="233"/>
      <c r="AHC18" s="231"/>
      <c r="AHD18" s="231"/>
      <c r="AHE18" s="229"/>
      <c r="AHF18" s="230"/>
      <c r="AHG18" s="231"/>
      <c r="AHH18" s="232"/>
      <c r="AHI18" s="233"/>
      <c r="AHJ18" s="233"/>
      <c r="AHK18" s="233"/>
      <c r="AHL18" s="233"/>
      <c r="AHM18" s="233"/>
      <c r="AHN18" s="233"/>
      <c r="AHO18" s="231"/>
      <c r="AHP18" s="231"/>
      <c r="AHQ18" s="229"/>
      <c r="AHR18" s="230"/>
      <c r="AHS18" s="231"/>
      <c r="AHT18" s="232"/>
      <c r="AHU18" s="233"/>
      <c r="AHV18" s="233"/>
      <c r="AHW18" s="233"/>
      <c r="AHX18" s="233"/>
      <c r="AHY18" s="233"/>
      <c r="AHZ18" s="233"/>
      <c r="AIA18" s="231"/>
      <c r="AIB18" s="231"/>
      <c r="AIC18" s="229"/>
      <c r="AID18" s="230"/>
      <c r="AIE18" s="231"/>
      <c r="AIF18" s="232"/>
      <c r="AIG18" s="233"/>
      <c r="AIH18" s="233"/>
      <c r="AII18" s="233"/>
      <c r="AIJ18" s="233"/>
      <c r="AIK18" s="233"/>
      <c r="AIL18" s="233"/>
      <c r="AIM18" s="231"/>
      <c r="AIN18" s="231"/>
      <c r="AIO18" s="229"/>
      <c r="AIP18" s="230"/>
      <c r="AIQ18" s="231"/>
      <c r="AIR18" s="232"/>
      <c r="AIS18" s="233"/>
      <c r="AIT18" s="233"/>
      <c r="AIU18" s="233"/>
      <c r="AIV18" s="233"/>
      <c r="AIW18" s="233"/>
      <c r="AIX18" s="233"/>
      <c r="AIY18" s="231"/>
      <c r="AIZ18" s="231"/>
      <c r="AJA18" s="229"/>
      <c r="AJB18" s="230"/>
      <c r="AJC18" s="231"/>
      <c r="AJD18" s="232"/>
      <c r="AJE18" s="233"/>
      <c r="AJF18" s="233"/>
      <c r="AJG18" s="233"/>
      <c r="AJH18" s="233"/>
      <c r="AJI18" s="233"/>
      <c r="AJJ18" s="233"/>
      <c r="AJK18" s="231"/>
      <c r="AJL18" s="231"/>
      <c r="AJM18" s="229"/>
      <c r="AJN18" s="230"/>
      <c r="AJO18" s="231"/>
      <c r="AJP18" s="232"/>
      <c r="AJQ18" s="233"/>
      <c r="AJR18" s="233"/>
      <c r="AJS18" s="233"/>
      <c r="AJT18" s="233"/>
      <c r="AJU18" s="233"/>
      <c r="AJV18" s="233"/>
      <c r="AJW18" s="231"/>
      <c r="AJX18" s="231"/>
      <c r="AJY18" s="229"/>
      <c r="AJZ18" s="230"/>
      <c r="AKA18" s="231"/>
      <c r="AKB18" s="232"/>
      <c r="AKC18" s="233"/>
      <c r="AKD18" s="233"/>
      <c r="AKE18" s="233"/>
      <c r="AKF18" s="233"/>
      <c r="AKG18" s="233"/>
      <c r="AKH18" s="233"/>
      <c r="AKI18" s="231"/>
      <c r="AKJ18" s="231"/>
      <c r="AKK18" s="229"/>
      <c r="AKL18" s="230"/>
      <c r="AKM18" s="231"/>
      <c r="AKN18" s="232"/>
      <c r="AKO18" s="233"/>
      <c r="AKP18" s="233"/>
      <c r="AKQ18" s="233"/>
      <c r="AKR18" s="233"/>
      <c r="AKS18" s="233"/>
      <c r="AKT18" s="233"/>
      <c r="AKU18" s="231"/>
      <c r="AKV18" s="231"/>
      <c r="AKW18" s="229"/>
      <c r="AKX18" s="230"/>
      <c r="AKY18" s="231"/>
      <c r="AKZ18" s="232"/>
      <c r="ALA18" s="233"/>
      <c r="ALB18" s="233"/>
      <c r="ALC18" s="233"/>
      <c r="ALD18" s="233"/>
      <c r="ALE18" s="233"/>
      <c r="ALF18" s="233"/>
      <c r="ALG18" s="231"/>
      <c r="ALH18" s="231"/>
      <c r="ALI18" s="229"/>
      <c r="ALJ18" s="230"/>
      <c r="ALK18" s="231"/>
      <c r="ALL18" s="232"/>
      <c r="ALM18" s="233"/>
      <c r="ALN18" s="233"/>
      <c r="ALO18" s="233"/>
      <c r="ALP18" s="233"/>
      <c r="ALQ18" s="233"/>
      <c r="ALR18" s="233"/>
      <c r="ALS18" s="231"/>
      <c r="ALT18" s="231"/>
      <c r="ALU18" s="229"/>
      <c r="ALV18" s="230"/>
      <c r="ALW18" s="231"/>
      <c r="ALX18" s="232"/>
      <c r="ALY18" s="233"/>
      <c r="ALZ18" s="233"/>
      <c r="AMA18" s="233"/>
      <c r="AMB18" s="233"/>
      <c r="AMC18" s="233"/>
      <c r="AMD18" s="233"/>
      <c r="AME18" s="231"/>
      <c r="AMF18" s="231"/>
      <c r="AMG18" s="229"/>
      <c r="AMH18" s="230"/>
      <c r="AMI18" s="231"/>
      <c r="AMJ18" s="232"/>
      <c r="AMK18" s="233"/>
      <c r="AML18" s="233"/>
      <c r="AMM18" s="233"/>
      <c r="AMN18" s="233"/>
      <c r="AMO18" s="233"/>
      <c r="AMP18" s="233"/>
      <c r="AMQ18" s="231"/>
      <c r="AMR18" s="231"/>
      <c r="AMS18" s="229"/>
      <c r="AMT18" s="230"/>
      <c r="AMU18" s="231"/>
      <c r="AMV18" s="232"/>
      <c r="AMW18" s="233"/>
      <c r="AMX18" s="233"/>
      <c r="AMY18" s="233"/>
      <c r="AMZ18" s="233"/>
      <c r="ANA18" s="233"/>
      <c r="ANB18" s="233"/>
      <c r="ANC18" s="231"/>
      <c r="AND18" s="231"/>
      <c r="ANE18" s="229"/>
      <c r="ANF18" s="230"/>
      <c r="ANG18" s="231"/>
      <c r="ANH18" s="232"/>
      <c r="ANI18" s="233"/>
      <c r="ANJ18" s="233"/>
      <c r="ANK18" s="233"/>
      <c r="ANL18" s="233"/>
      <c r="ANM18" s="233"/>
      <c r="ANN18" s="233"/>
      <c r="ANO18" s="231"/>
      <c r="ANP18" s="231"/>
      <c r="ANQ18" s="229"/>
      <c r="ANR18" s="230"/>
      <c r="ANS18" s="231"/>
      <c r="ANT18" s="232"/>
      <c r="ANU18" s="233"/>
      <c r="ANV18" s="233"/>
      <c r="ANW18" s="233"/>
      <c r="ANX18" s="233"/>
      <c r="ANY18" s="233"/>
      <c r="ANZ18" s="233"/>
      <c r="AOA18" s="231"/>
      <c r="AOB18" s="231"/>
      <c r="AOC18" s="229"/>
      <c r="AOD18" s="230"/>
      <c r="AOE18" s="231"/>
      <c r="AOF18" s="232"/>
      <c r="AOG18" s="233"/>
      <c r="AOH18" s="233"/>
      <c r="AOI18" s="233"/>
      <c r="AOJ18" s="233"/>
      <c r="AOK18" s="233"/>
      <c r="AOL18" s="233"/>
      <c r="AOM18" s="231"/>
      <c r="AON18" s="231"/>
      <c r="AOO18" s="229"/>
      <c r="AOP18" s="230"/>
      <c r="AOQ18" s="231"/>
      <c r="AOR18" s="232"/>
      <c r="AOS18" s="233"/>
      <c r="AOT18" s="233"/>
      <c r="AOU18" s="233"/>
      <c r="AOV18" s="233"/>
      <c r="AOW18" s="233"/>
      <c r="AOX18" s="233"/>
      <c r="AOY18" s="231"/>
      <c r="AOZ18" s="231"/>
      <c r="APA18" s="229"/>
      <c r="APB18" s="230"/>
      <c r="APC18" s="231"/>
      <c r="APD18" s="232"/>
      <c r="APE18" s="233"/>
      <c r="APF18" s="233"/>
      <c r="APG18" s="233"/>
      <c r="APH18" s="233"/>
      <c r="API18" s="233"/>
      <c r="APJ18" s="233"/>
      <c r="APK18" s="231"/>
      <c r="APL18" s="231"/>
      <c r="APM18" s="229"/>
      <c r="APN18" s="230"/>
      <c r="APO18" s="231"/>
      <c r="APP18" s="232"/>
      <c r="APQ18" s="233"/>
      <c r="APR18" s="233"/>
      <c r="APS18" s="233"/>
      <c r="APT18" s="233"/>
      <c r="APU18" s="233"/>
      <c r="APV18" s="233"/>
      <c r="APW18" s="231"/>
      <c r="APX18" s="231"/>
      <c r="APY18" s="229"/>
      <c r="APZ18" s="230"/>
      <c r="AQA18" s="231"/>
      <c r="AQB18" s="232"/>
      <c r="AQC18" s="233"/>
      <c r="AQD18" s="233"/>
      <c r="AQE18" s="233"/>
      <c r="AQF18" s="233"/>
      <c r="AQG18" s="233"/>
      <c r="AQH18" s="233"/>
      <c r="AQI18" s="231"/>
      <c r="AQJ18" s="231"/>
      <c r="AQK18" s="229"/>
      <c r="AQL18" s="230"/>
      <c r="AQM18" s="231"/>
      <c r="AQN18" s="232"/>
      <c r="AQO18" s="233"/>
      <c r="AQP18" s="233"/>
      <c r="AQQ18" s="233"/>
      <c r="AQR18" s="233"/>
      <c r="AQS18" s="233"/>
      <c r="AQT18" s="233"/>
      <c r="AQU18" s="231"/>
      <c r="AQV18" s="231"/>
      <c r="AQW18" s="229"/>
      <c r="AQX18" s="230"/>
      <c r="AQY18" s="231"/>
      <c r="AQZ18" s="232"/>
      <c r="ARA18" s="233"/>
      <c r="ARB18" s="233"/>
      <c r="ARC18" s="233"/>
      <c r="ARD18" s="233"/>
      <c r="ARE18" s="233"/>
      <c r="ARF18" s="233"/>
      <c r="ARG18" s="231"/>
      <c r="ARH18" s="231"/>
      <c r="ARI18" s="229"/>
      <c r="ARJ18" s="230"/>
      <c r="ARK18" s="231"/>
      <c r="ARL18" s="232"/>
      <c r="ARM18" s="233"/>
      <c r="ARN18" s="233"/>
      <c r="ARO18" s="233"/>
      <c r="ARP18" s="233"/>
      <c r="ARQ18" s="233"/>
      <c r="ARR18" s="233"/>
      <c r="ARS18" s="231"/>
      <c r="ART18" s="231"/>
      <c r="ARU18" s="229"/>
      <c r="ARV18" s="230"/>
      <c r="ARW18" s="231"/>
      <c r="ARX18" s="232"/>
      <c r="ARY18" s="233"/>
      <c r="ARZ18" s="233"/>
      <c r="ASA18" s="233"/>
      <c r="ASB18" s="233"/>
      <c r="ASC18" s="233"/>
      <c r="ASD18" s="233"/>
      <c r="ASE18" s="231"/>
      <c r="ASF18" s="231"/>
      <c r="ASG18" s="229"/>
      <c r="ASH18" s="230"/>
      <c r="ASI18" s="231"/>
      <c r="ASJ18" s="232"/>
      <c r="ASK18" s="233"/>
      <c r="ASL18" s="233"/>
      <c r="ASM18" s="233"/>
      <c r="ASN18" s="233"/>
      <c r="ASO18" s="233"/>
      <c r="ASP18" s="233"/>
      <c r="ASQ18" s="231"/>
      <c r="ASR18" s="231"/>
      <c r="ASS18" s="229"/>
      <c r="AST18" s="230"/>
      <c r="ASU18" s="231"/>
      <c r="ASV18" s="232"/>
      <c r="ASW18" s="233"/>
      <c r="ASX18" s="233"/>
      <c r="ASY18" s="233"/>
      <c r="ASZ18" s="233"/>
      <c r="ATA18" s="233"/>
      <c r="ATB18" s="233"/>
      <c r="ATC18" s="231"/>
      <c r="ATD18" s="231"/>
      <c r="ATE18" s="229"/>
      <c r="ATF18" s="230"/>
      <c r="ATG18" s="231"/>
      <c r="ATH18" s="232"/>
      <c r="ATI18" s="233"/>
      <c r="ATJ18" s="233"/>
      <c r="ATK18" s="233"/>
      <c r="ATL18" s="233"/>
      <c r="ATM18" s="233"/>
      <c r="ATN18" s="233"/>
      <c r="ATO18" s="231"/>
      <c r="ATP18" s="231"/>
      <c r="ATQ18" s="229"/>
      <c r="ATR18" s="230"/>
      <c r="ATS18" s="231"/>
      <c r="ATT18" s="232"/>
      <c r="ATU18" s="233"/>
      <c r="ATV18" s="233"/>
      <c r="ATW18" s="233"/>
      <c r="ATX18" s="233"/>
      <c r="ATY18" s="233"/>
      <c r="ATZ18" s="233"/>
      <c r="AUA18" s="231"/>
      <c r="AUB18" s="231"/>
      <c r="AUC18" s="229"/>
      <c r="AUD18" s="230"/>
      <c r="AUE18" s="231"/>
      <c r="AUF18" s="232"/>
      <c r="AUG18" s="233"/>
      <c r="AUH18" s="233"/>
      <c r="AUI18" s="233"/>
      <c r="AUJ18" s="233"/>
      <c r="AUK18" s="233"/>
      <c r="AUL18" s="233"/>
      <c r="AUM18" s="231"/>
      <c r="AUN18" s="231"/>
      <c r="AUO18" s="229"/>
      <c r="AUP18" s="230"/>
      <c r="AUQ18" s="231"/>
      <c r="AUR18" s="232"/>
      <c r="AUS18" s="233"/>
      <c r="AUT18" s="233"/>
      <c r="AUU18" s="233"/>
      <c r="AUV18" s="233"/>
      <c r="AUW18" s="233"/>
      <c r="AUX18" s="233"/>
      <c r="AUY18" s="231"/>
      <c r="AUZ18" s="231"/>
      <c r="AVA18" s="229"/>
      <c r="AVB18" s="230"/>
      <c r="AVC18" s="231"/>
      <c r="AVD18" s="232"/>
      <c r="AVE18" s="233"/>
      <c r="AVF18" s="233"/>
      <c r="AVG18" s="233"/>
      <c r="AVH18" s="233"/>
      <c r="AVI18" s="233"/>
      <c r="AVJ18" s="233"/>
      <c r="AVK18" s="231"/>
      <c r="AVL18" s="231"/>
      <c r="AVM18" s="229"/>
      <c r="AVN18" s="230"/>
      <c r="AVO18" s="231"/>
      <c r="AVP18" s="232"/>
      <c r="AVQ18" s="233"/>
      <c r="AVR18" s="233"/>
      <c r="AVS18" s="233"/>
      <c r="AVT18" s="233"/>
      <c r="AVU18" s="233"/>
      <c r="AVV18" s="233"/>
      <c r="AVW18" s="231"/>
      <c r="AVX18" s="231"/>
      <c r="AVY18" s="229"/>
      <c r="AVZ18" s="230"/>
      <c r="AWA18" s="231"/>
      <c r="AWB18" s="232"/>
      <c r="AWC18" s="233"/>
      <c r="AWD18" s="233"/>
      <c r="AWE18" s="233"/>
      <c r="AWF18" s="233"/>
      <c r="AWG18" s="233"/>
      <c r="AWH18" s="233"/>
      <c r="AWI18" s="231"/>
      <c r="AWJ18" s="231"/>
      <c r="AWK18" s="229"/>
      <c r="AWL18" s="230"/>
      <c r="AWM18" s="231"/>
      <c r="AWN18" s="232"/>
      <c r="AWO18" s="233"/>
      <c r="AWP18" s="233"/>
      <c r="AWQ18" s="233"/>
      <c r="AWR18" s="233"/>
      <c r="AWS18" s="233"/>
      <c r="AWT18" s="233"/>
      <c r="AWU18" s="231"/>
      <c r="AWV18" s="231"/>
      <c r="AWW18" s="229"/>
      <c r="AWX18" s="230"/>
      <c r="AWY18" s="231"/>
      <c r="AWZ18" s="232"/>
      <c r="AXA18" s="233"/>
      <c r="AXB18" s="233"/>
      <c r="AXC18" s="233"/>
      <c r="AXD18" s="233"/>
      <c r="AXE18" s="233"/>
      <c r="AXF18" s="233"/>
      <c r="AXG18" s="231"/>
      <c r="AXH18" s="231"/>
      <c r="AXI18" s="229"/>
      <c r="AXJ18" s="230"/>
      <c r="AXK18" s="231"/>
      <c r="AXL18" s="232"/>
      <c r="AXM18" s="233"/>
      <c r="AXN18" s="233"/>
      <c r="AXO18" s="233"/>
      <c r="AXP18" s="233"/>
      <c r="AXQ18" s="233"/>
      <c r="AXR18" s="233"/>
      <c r="AXS18" s="231"/>
      <c r="AXT18" s="231"/>
      <c r="AXU18" s="229"/>
      <c r="AXV18" s="230"/>
      <c r="AXW18" s="231"/>
      <c r="AXX18" s="232"/>
      <c r="AXY18" s="233"/>
      <c r="AXZ18" s="233"/>
      <c r="AYA18" s="233"/>
      <c r="AYB18" s="233"/>
      <c r="AYC18" s="233"/>
      <c r="AYD18" s="233"/>
      <c r="AYE18" s="231"/>
      <c r="AYF18" s="231"/>
      <c r="AYG18" s="229"/>
      <c r="AYH18" s="230"/>
      <c r="AYI18" s="231"/>
      <c r="AYJ18" s="232"/>
      <c r="AYK18" s="233"/>
      <c r="AYL18" s="233"/>
      <c r="AYM18" s="233"/>
      <c r="AYN18" s="233"/>
      <c r="AYO18" s="233"/>
      <c r="AYP18" s="233"/>
      <c r="AYQ18" s="231"/>
      <c r="AYR18" s="231"/>
      <c r="AYS18" s="229"/>
      <c r="AYT18" s="230"/>
      <c r="AYU18" s="231"/>
      <c r="AYV18" s="232"/>
      <c r="AYW18" s="233"/>
      <c r="AYX18" s="233"/>
      <c r="AYY18" s="233"/>
      <c r="AYZ18" s="233"/>
      <c r="AZA18" s="233"/>
      <c r="AZB18" s="233"/>
      <c r="AZC18" s="231"/>
      <c r="AZD18" s="231"/>
      <c r="AZE18" s="229"/>
      <c r="AZF18" s="230"/>
      <c r="AZG18" s="231"/>
      <c r="AZH18" s="232"/>
      <c r="AZI18" s="233"/>
      <c r="AZJ18" s="233"/>
      <c r="AZK18" s="233"/>
      <c r="AZL18" s="233"/>
      <c r="AZM18" s="233"/>
      <c r="AZN18" s="233"/>
      <c r="AZO18" s="231"/>
      <c r="AZP18" s="231"/>
      <c r="AZQ18" s="229"/>
      <c r="AZR18" s="230"/>
      <c r="AZS18" s="231"/>
      <c r="AZT18" s="232"/>
      <c r="AZU18" s="233"/>
      <c r="AZV18" s="233"/>
      <c r="AZW18" s="233"/>
      <c r="AZX18" s="233"/>
      <c r="AZY18" s="233"/>
      <c r="AZZ18" s="233"/>
      <c r="BAA18" s="231"/>
      <c r="BAB18" s="231"/>
      <c r="BAC18" s="229"/>
      <c r="BAD18" s="230"/>
      <c r="BAE18" s="231"/>
      <c r="BAF18" s="232"/>
      <c r="BAG18" s="233"/>
      <c r="BAH18" s="233"/>
      <c r="BAI18" s="233"/>
      <c r="BAJ18" s="233"/>
      <c r="BAK18" s="233"/>
      <c r="BAL18" s="233"/>
      <c r="BAM18" s="231"/>
      <c r="BAN18" s="231"/>
      <c r="BAO18" s="229"/>
      <c r="BAP18" s="230"/>
      <c r="BAQ18" s="231"/>
      <c r="BAR18" s="232"/>
      <c r="BAS18" s="233"/>
      <c r="BAT18" s="233"/>
      <c r="BAU18" s="233"/>
      <c r="BAV18" s="233"/>
      <c r="BAW18" s="233"/>
      <c r="BAX18" s="233"/>
      <c r="BAY18" s="231"/>
      <c r="BAZ18" s="231"/>
      <c r="BBA18" s="229"/>
      <c r="BBB18" s="230"/>
      <c r="BBC18" s="231"/>
      <c r="BBD18" s="232"/>
      <c r="BBE18" s="233"/>
      <c r="BBF18" s="233"/>
      <c r="BBG18" s="233"/>
      <c r="BBH18" s="233"/>
      <c r="BBI18" s="233"/>
      <c r="BBJ18" s="233"/>
      <c r="BBK18" s="231"/>
      <c r="BBL18" s="231"/>
      <c r="BBM18" s="229"/>
      <c r="BBN18" s="230"/>
      <c r="BBO18" s="231"/>
      <c r="BBP18" s="232"/>
      <c r="BBQ18" s="233"/>
      <c r="BBR18" s="233"/>
      <c r="BBS18" s="233"/>
      <c r="BBT18" s="233"/>
      <c r="BBU18" s="233"/>
      <c r="BBV18" s="233"/>
      <c r="BBW18" s="231"/>
      <c r="BBX18" s="231"/>
      <c r="BBY18" s="229"/>
      <c r="BBZ18" s="230"/>
      <c r="BCA18" s="231"/>
      <c r="BCB18" s="232"/>
      <c r="BCC18" s="233"/>
      <c r="BCD18" s="233"/>
      <c r="BCE18" s="233"/>
      <c r="BCF18" s="233"/>
      <c r="BCG18" s="233"/>
      <c r="BCH18" s="233"/>
      <c r="BCI18" s="231"/>
      <c r="BCJ18" s="231"/>
      <c r="BCK18" s="229"/>
      <c r="BCL18" s="230"/>
      <c r="BCM18" s="231"/>
      <c r="BCN18" s="232"/>
      <c r="BCO18" s="233"/>
      <c r="BCP18" s="233"/>
      <c r="BCQ18" s="233"/>
      <c r="BCR18" s="233"/>
      <c r="BCS18" s="233"/>
      <c r="BCT18" s="233"/>
      <c r="BCU18" s="231"/>
      <c r="BCV18" s="231"/>
      <c r="BCW18" s="229"/>
      <c r="BCX18" s="230"/>
      <c r="BCY18" s="231"/>
      <c r="BCZ18" s="232"/>
      <c r="BDA18" s="233"/>
      <c r="BDB18" s="233"/>
      <c r="BDC18" s="233"/>
      <c r="BDD18" s="233"/>
      <c r="BDE18" s="233"/>
      <c r="BDF18" s="233"/>
      <c r="BDG18" s="231"/>
      <c r="BDH18" s="231"/>
      <c r="BDI18" s="229"/>
      <c r="BDJ18" s="230"/>
      <c r="BDK18" s="231"/>
      <c r="BDL18" s="232"/>
      <c r="BDM18" s="233"/>
      <c r="BDN18" s="233"/>
      <c r="BDO18" s="233"/>
      <c r="BDP18" s="233"/>
      <c r="BDQ18" s="233"/>
      <c r="BDR18" s="233"/>
      <c r="BDS18" s="231"/>
      <c r="BDT18" s="231"/>
      <c r="BDU18" s="229"/>
      <c r="BDV18" s="230"/>
      <c r="BDW18" s="231"/>
      <c r="BDX18" s="232"/>
      <c r="BDY18" s="233"/>
      <c r="BDZ18" s="233"/>
      <c r="BEA18" s="233"/>
      <c r="BEB18" s="233"/>
      <c r="BEC18" s="233"/>
      <c r="BED18" s="233"/>
      <c r="BEE18" s="231"/>
      <c r="BEF18" s="231"/>
      <c r="BEG18" s="229"/>
      <c r="BEH18" s="230"/>
      <c r="BEI18" s="231"/>
      <c r="BEJ18" s="232"/>
      <c r="BEK18" s="233"/>
      <c r="BEL18" s="233"/>
      <c r="BEM18" s="233"/>
      <c r="BEN18" s="233"/>
      <c r="BEO18" s="233"/>
      <c r="BEP18" s="233"/>
      <c r="BEQ18" s="231"/>
      <c r="BER18" s="231"/>
      <c r="BES18" s="229"/>
      <c r="BET18" s="230"/>
      <c r="BEU18" s="231"/>
      <c r="BEV18" s="232"/>
      <c r="BEW18" s="233"/>
      <c r="BEX18" s="233"/>
      <c r="BEY18" s="233"/>
      <c r="BEZ18" s="233"/>
      <c r="BFA18" s="233"/>
      <c r="BFB18" s="233"/>
      <c r="BFC18" s="231"/>
      <c r="BFD18" s="231"/>
      <c r="BFE18" s="229"/>
      <c r="BFF18" s="230"/>
      <c r="BFG18" s="231"/>
      <c r="BFH18" s="232"/>
      <c r="BFI18" s="233"/>
      <c r="BFJ18" s="233"/>
      <c r="BFK18" s="233"/>
      <c r="BFL18" s="233"/>
      <c r="BFM18" s="233"/>
      <c r="BFN18" s="233"/>
      <c r="BFO18" s="231"/>
      <c r="BFP18" s="231"/>
      <c r="BFQ18" s="229"/>
      <c r="BFR18" s="230"/>
      <c r="BFS18" s="231"/>
      <c r="BFT18" s="232"/>
      <c r="BFU18" s="233"/>
      <c r="BFV18" s="233"/>
      <c r="BFW18" s="233"/>
      <c r="BFX18" s="233"/>
      <c r="BFY18" s="233"/>
      <c r="BFZ18" s="233"/>
      <c r="BGA18" s="231"/>
      <c r="BGB18" s="231"/>
      <c r="BGC18" s="229"/>
      <c r="BGD18" s="230"/>
      <c r="BGE18" s="231"/>
      <c r="BGF18" s="232"/>
      <c r="BGG18" s="233"/>
      <c r="BGH18" s="233"/>
      <c r="BGI18" s="233"/>
      <c r="BGJ18" s="233"/>
      <c r="BGK18" s="233"/>
      <c r="BGL18" s="233"/>
      <c r="BGM18" s="231"/>
      <c r="BGN18" s="231"/>
      <c r="BGO18" s="229"/>
      <c r="BGP18" s="230"/>
      <c r="BGQ18" s="231"/>
      <c r="BGR18" s="232"/>
      <c r="BGS18" s="233"/>
      <c r="BGT18" s="233"/>
      <c r="BGU18" s="233"/>
      <c r="BGV18" s="233"/>
      <c r="BGW18" s="233"/>
      <c r="BGX18" s="233"/>
      <c r="BGY18" s="231"/>
      <c r="BGZ18" s="231"/>
      <c r="BHA18" s="229"/>
      <c r="BHB18" s="230"/>
      <c r="BHC18" s="231"/>
      <c r="BHD18" s="232"/>
      <c r="BHE18" s="233"/>
      <c r="BHF18" s="233"/>
      <c r="BHG18" s="233"/>
      <c r="BHH18" s="233"/>
      <c r="BHI18" s="233"/>
      <c r="BHJ18" s="233"/>
      <c r="BHK18" s="231"/>
      <c r="BHL18" s="231"/>
      <c r="BHM18" s="229"/>
      <c r="BHN18" s="230"/>
      <c r="BHO18" s="231"/>
      <c r="BHP18" s="232"/>
      <c r="BHQ18" s="233"/>
      <c r="BHR18" s="233"/>
      <c r="BHS18" s="233"/>
      <c r="BHT18" s="233"/>
      <c r="BHU18" s="233"/>
      <c r="BHV18" s="233"/>
      <c r="BHW18" s="231"/>
      <c r="BHX18" s="231"/>
      <c r="BHY18" s="229"/>
      <c r="BHZ18" s="230"/>
      <c r="BIA18" s="231"/>
      <c r="BIB18" s="232"/>
      <c r="BIC18" s="233"/>
      <c r="BID18" s="233"/>
      <c r="BIE18" s="233"/>
      <c r="BIF18" s="233"/>
      <c r="BIG18" s="233"/>
      <c r="BIH18" s="233"/>
      <c r="BII18" s="231"/>
      <c r="BIJ18" s="231"/>
      <c r="BIK18" s="229"/>
      <c r="BIL18" s="230"/>
      <c r="BIM18" s="231"/>
      <c r="BIN18" s="232"/>
      <c r="BIO18" s="233"/>
      <c r="BIP18" s="233"/>
      <c r="BIQ18" s="233"/>
      <c r="BIR18" s="233"/>
      <c r="BIS18" s="233"/>
      <c r="BIT18" s="233"/>
      <c r="BIU18" s="231"/>
      <c r="BIV18" s="231"/>
      <c r="BIW18" s="229"/>
      <c r="BIX18" s="230"/>
      <c r="BIY18" s="231"/>
      <c r="BIZ18" s="232"/>
      <c r="BJA18" s="233"/>
      <c r="BJB18" s="233"/>
      <c r="BJC18" s="233"/>
      <c r="BJD18" s="233"/>
      <c r="BJE18" s="233"/>
      <c r="BJF18" s="233"/>
      <c r="BJG18" s="231"/>
      <c r="BJH18" s="231"/>
      <c r="BJI18" s="229"/>
      <c r="BJJ18" s="230"/>
      <c r="BJK18" s="231"/>
      <c r="BJL18" s="232"/>
      <c r="BJM18" s="233"/>
      <c r="BJN18" s="233"/>
      <c r="BJO18" s="233"/>
      <c r="BJP18" s="233"/>
      <c r="BJQ18" s="233"/>
      <c r="BJR18" s="233"/>
      <c r="BJS18" s="231"/>
      <c r="BJT18" s="231"/>
      <c r="BJU18" s="229"/>
      <c r="BJV18" s="230"/>
      <c r="BJW18" s="231"/>
      <c r="BJX18" s="232"/>
      <c r="BJY18" s="233"/>
      <c r="BJZ18" s="233"/>
      <c r="BKA18" s="233"/>
      <c r="BKB18" s="233"/>
      <c r="BKC18" s="233"/>
      <c r="BKD18" s="233"/>
      <c r="BKE18" s="231"/>
      <c r="BKF18" s="231"/>
      <c r="BKG18" s="229"/>
      <c r="BKH18" s="230"/>
      <c r="BKI18" s="231"/>
      <c r="BKJ18" s="232"/>
      <c r="BKK18" s="233"/>
      <c r="BKL18" s="233"/>
      <c r="BKM18" s="233"/>
      <c r="BKN18" s="233"/>
      <c r="BKO18" s="233"/>
      <c r="BKP18" s="233"/>
      <c r="BKQ18" s="231"/>
      <c r="BKR18" s="231"/>
      <c r="BKS18" s="229"/>
      <c r="BKT18" s="230"/>
      <c r="BKU18" s="231"/>
      <c r="BKV18" s="232"/>
      <c r="BKW18" s="233"/>
      <c r="BKX18" s="233"/>
      <c r="BKY18" s="233"/>
      <c r="BKZ18" s="233"/>
      <c r="BLA18" s="233"/>
      <c r="BLB18" s="233"/>
      <c r="BLC18" s="231"/>
      <c r="BLD18" s="231"/>
      <c r="BLE18" s="229"/>
      <c r="BLF18" s="230"/>
      <c r="BLG18" s="231"/>
      <c r="BLH18" s="232"/>
      <c r="BLI18" s="233"/>
      <c r="BLJ18" s="233"/>
      <c r="BLK18" s="233"/>
      <c r="BLL18" s="233"/>
      <c r="BLM18" s="233"/>
      <c r="BLN18" s="233"/>
      <c r="BLO18" s="231"/>
      <c r="BLP18" s="231"/>
      <c r="BLQ18" s="229"/>
      <c r="BLR18" s="230"/>
      <c r="BLS18" s="231"/>
      <c r="BLT18" s="232"/>
      <c r="BLU18" s="233"/>
      <c r="BLV18" s="233"/>
      <c r="BLW18" s="233"/>
      <c r="BLX18" s="233"/>
      <c r="BLY18" s="233"/>
      <c r="BLZ18" s="233"/>
      <c r="BMA18" s="231"/>
      <c r="BMB18" s="231"/>
      <c r="BMC18" s="229"/>
      <c r="BMD18" s="230"/>
      <c r="BME18" s="231"/>
      <c r="BMF18" s="232"/>
      <c r="BMG18" s="233"/>
      <c r="BMH18" s="233"/>
      <c r="BMI18" s="233"/>
      <c r="BMJ18" s="233"/>
      <c r="BMK18" s="233"/>
      <c r="BML18" s="233"/>
      <c r="BMM18" s="231"/>
      <c r="BMN18" s="231"/>
      <c r="BMO18" s="229"/>
      <c r="BMP18" s="230"/>
      <c r="BMQ18" s="231"/>
      <c r="BMR18" s="232"/>
      <c r="BMS18" s="233"/>
      <c r="BMT18" s="233"/>
      <c r="BMU18" s="233"/>
      <c r="BMV18" s="233"/>
      <c r="BMW18" s="233"/>
      <c r="BMX18" s="233"/>
      <c r="BMY18" s="231"/>
      <c r="BMZ18" s="231"/>
      <c r="BNA18" s="229"/>
      <c r="BNB18" s="230"/>
      <c r="BNC18" s="231"/>
      <c r="BND18" s="232"/>
      <c r="BNE18" s="233"/>
      <c r="BNF18" s="233"/>
      <c r="BNG18" s="233"/>
      <c r="BNH18" s="233"/>
      <c r="BNI18" s="233"/>
      <c r="BNJ18" s="233"/>
      <c r="BNK18" s="231"/>
      <c r="BNL18" s="231"/>
      <c r="BNM18" s="229"/>
      <c r="BNN18" s="230"/>
      <c r="BNO18" s="231"/>
      <c r="BNP18" s="232"/>
      <c r="BNQ18" s="233"/>
      <c r="BNR18" s="233"/>
      <c r="BNS18" s="233"/>
      <c r="BNT18" s="233"/>
      <c r="BNU18" s="233"/>
      <c r="BNV18" s="233"/>
      <c r="BNW18" s="231"/>
      <c r="BNX18" s="231"/>
      <c r="BNY18" s="229"/>
      <c r="BNZ18" s="230"/>
      <c r="BOA18" s="231"/>
      <c r="BOB18" s="232"/>
      <c r="BOC18" s="233"/>
      <c r="BOD18" s="233"/>
      <c r="BOE18" s="233"/>
      <c r="BOF18" s="233"/>
      <c r="BOG18" s="233"/>
      <c r="BOH18" s="233"/>
      <c r="BOI18" s="231"/>
      <c r="BOJ18" s="231"/>
      <c r="BOK18" s="229"/>
      <c r="BOL18" s="230"/>
      <c r="BOM18" s="231"/>
      <c r="BON18" s="232"/>
      <c r="BOO18" s="233"/>
      <c r="BOP18" s="233"/>
      <c r="BOQ18" s="233"/>
      <c r="BOR18" s="233"/>
      <c r="BOS18" s="233"/>
      <c r="BOT18" s="233"/>
      <c r="BOU18" s="231"/>
      <c r="BOV18" s="231"/>
      <c r="BOW18" s="229"/>
      <c r="BOX18" s="230"/>
      <c r="BOY18" s="231"/>
      <c r="BOZ18" s="232"/>
      <c r="BPA18" s="233"/>
      <c r="BPB18" s="233"/>
      <c r="BPC18" s="233"/>
      <c r="BPD18" s="233"/>
      <c r="BPE18" s="233"/>
      <c r="BPF18" s="233"/>
      <c r="BPG18" s="231"/>
      <c r="BPH18" s="231"/>
      <c r="BPI18" s="229"/>
      <c r="BPJ18" s="230"/>
      <c r="BPK18" s="231"/>
      <c r="BPL18" s="232"/>
      <c r="BPM18" s="233"/>
      <c r="BPN18" s="233"/>
      <c r="BPO18" s="233"/>
      <c r="BPP18" s="233"/>
      <c r="BPQ18" s="233"/>
      <c r="BPR18" s="233"/>
      <c r="BPS18" s="231"/>
      <c r="BPT18" s="231"/>
      <c r="BPU18" s="229"/>
      <c r="BPV18" s="230"/>
      <c r="BPW18" s="231"/>
      <c r="BPX18" s="232"/>
      <c r="BPY18" s="233"/>
      <c r="BPZ18" s="233"/>
      <c r="BQA18" s="233"/>
      <c r="BQB18" s="233"/>
      <c r="BQC18" s="233"/>
      <c r="BQD18" s="233"/>
      <c r="BQE18" s="231"/>
      <c r="BQF18" s="231"/>
      <c r="BQG18" s="229"/>
      <c r="BQH18" s="230"/>
      <c r="BQI18" s="231"/>
      <c r="BQJ18" s="232"/>
      <c r="BQK18" s="233"/>
      <c r="BQL18" s="233"/>
      <c r="BQM18" s="233"/>
      <c r="BQN18" s="233"/>
      <c r="BQO18" s="233"/>
      <c r="BQP18" s="233"/>
      <c r="BQQ18" s="231"/>
      <c r="BQR18" s="231"/>
      <c r="BQS18" s="229"/>
      <c r="BQT18" s="230"/>
      <c r="BQU18" s="231"/>
      <c r="BQV18" s="232"/>
      <c r="BQW18" s="233"/>
      <c r="BQX18" s="233"/>
      <c r="BQY18" s="233"/>
      <c r="BQZ18" s="233"/>
      <c r="BRA18" s="233"/>
      <c r="BRB18" s="233"/>
      <c r="BRC18" s="231"/>
      <c r="BRD18" s="231"/>
      <c r="BRE18" s="229"/>
      <c r="BRF18" s="230"/>
      <c r="BRG18" s="231"/>
      <c r="BRH18" s="232"/>
      <c r="BRI18" s="233"/>
      <c r="BRJ18" s="233"/>
      <c r="BRK18" s="233"/>
      <c r="BRL18" s="233"/>
      <c r="BRM18" s="233"/>
      <c r="BRN18" s="233"/>
      <c r="BRO18" s="231"/>
      <c r="BRP18" s="231"/>
      <c r="BRQ18" s="229"/>
      <c r="BRR18" s="230"/>
      <c r="BRS18" s="231"/>
      <c r="BRT18" s="232"/>
      <c r="BRU18" s="233"/>
      <c r="BRV18" s="233"/>
      <c r="BRW18" s="233"/>
      <c r="BRX18" s="233"/>
      <c r="BRY18" s="233"/>
      <c r="BRZ18" s="233"/>
      <c r="BSA18" s="231"/>
      <c r="BSB18" s="231"/>
      <c r="BSC18" s="229"/>
      <c r="BSD18" s="230"/>
      <c r="BSE18" s="231"/>
      <c r="BSF18" s="232"/>
      <c r="BSG18" s="233"/>
      <c r="BSH18" s="233"/>
      <c r="BSI18" s="233"/>
      <c r="BSJ18" s="233"/>
      <c r="BSK18" s="233"/>
      <c r="BSL18" s="233"/>
      <c r="BSM18" s="231"/>
      <c r="BSN18" s="231"/>
      <c r="BSO18" s="229"/>
      <c r="BSP18" s="230"/>
      <c r="BSQ18" s="231"/>
      <c r="BSR18" s="232"/>
      <c r="BSS18" s="233"/>
      <c r="BST18" s="233"/>
      <c r="BSU18" s="233"/>
      <c r="BSV18" s="233"/>
      <c r="BSW18" s="233"/>
      <c r="BSX18" s="233"/>
      <c r="BSY18" s="231"/>
      <c r="BSZ18" s="231"/>
      <c r="BTA18" s="229"/>
      <c r="BTB18" s="230"/>
      <c r="BTC18" s="231"/>
      <c r="BTD18" s="232"/>
      <c r="BTE18" s="233"/>
      <c r="BTF18" s="233"/>
      <c r="BTG18" s="233"/>
      <c r="BTH18" s="233"/>
      <c r="BTI18" s="233"/>
      <c r="BTJ18" s="233"/>
      <c r="BTK18" s="231"/>
      <c r="BTL18" s="231"/>
      <c r="BTM18" s="229"/>
      <c r="BTN18" s="230"/>
      <c r="BTO18" s="231"/>
      <c r="BTP18" s="232"/>
      <c r="BTQ18" s="233"/>
      <c r="BTR18" s="233"/>
      <c r="BTS18" s="233"/>
      <c r="BTT18" s="233"/>
      <c r="BTU18" s="233"/>
      <c r="BTV18" s="233"/>
      <c r="BTW18" s="231"/>
      <c r="BTX18" s="231"/>
      <c r="BTY18" s="229"/>
      <c r="BTZ18" s="230"/>
      <c r="BUA18" s="231"/>
      <c r="BUB18" s="232"/>
      <c r="BUC18" s="233"/>
      <c r="BUD18" s="233"/>
      <c r="BUE18" s="233"/>
      <c r="BUF18" s="233"/>
      <c r="BUG18" s="233"/>
      <c r="BUH18" s="233"/>
      <c r="BUI18" s="231"/>
      <c r="BUJ18" s="231"/>
      <c r="BUK18" s="229"/>
      <c r="BUL18" s="230"/>
      <c r="BUM18" s="231"/>
      <c r="BUN18" s="232"/>
      <c r="BUO18" s="233"/>
      <c r="BUP18" s="233"/>
      <c r="BUQ18" s="233"/>
      <c r="BUR18" s="233"/>
      <c r="BUS18" s="233"/>
      <c r="BUT18" s="233"/>
      <c r="BUU18" s="231"/>
      <c r="BUV18" s="231"/>
      <c r="BUW18" s="229"/>
      <c r="BUX18" s="230"/>
      <c r="BUY18" s="231"/>
      <c r="BUZ18" s="232"/>
      <c r="BVA18" s="233"/>
      <c r="BVB18" s="233"/>
      <c r="BVC18" s="233"/>
      <c r="BVD18" s="233"/>
      <c r="BVE18" s="233"/>
      <c r="BVF18" s="233"/>
      <c r="BVG18" s="231"/>
      <c r="BVH18" s="231"/>
      <c r="BVI18" s="229"/>
      <c r="BVJ18" s="230"/>
      <c r="BVK18" s="231"/>
      <c r="BVL18" s="232"/>
      <c r="BVM18" s="233"/>
      <c r="BVN18" s="233"/>
      <c r="BVO18" s="233"/>
      <c r="BVP18" s="233"/>
      <c r="BVQ18" s="233"/>
      <c r="BVR18" s="233"/>
      <c r="BVS18" s="231"/>
      <c r="BVT18" s="231"/>
      <c r="BVU18" s="229"/>
      <c r="BVV18" s="230"/>
      <c r="BVW18" s="231"/>
      <c r="BVX18" s="232"/>
      <c r="BVY18" s="233"/>
      <c r="BVZ18" s="233"/>
      <c r="BWA18" s="233"/>
      <c r="BWB18" s="233"/>
      <c r="BWC18" s="233"/>
      <c r="BWD18" s="233"/>
      <c r="BWE18" s="231"/>
      <c r="BWF18" s="231"/>
      <c r="BWG18" s="229"/>
      <c r="BWH18" s="230"/>
      <c r="BWI18" s="231"/>
      <c r="BWJ18" s="232"/>
      <c r="BWK18" s="233"/>
      <c r="BWL18" s="233"/>
      <c r="BWM18" s="233"/>
      <c r="BWN18" s="233"/>
      <c r="BWO18" s="233"/>
      <c r="BWP18" s="233"/>
      <c r="BWQ18" s="231"/>
      <c r="BWR18" s="231"/>
      <c r="BWS18" s="229"/>
      <c r="BWT18" s="230"/>
      <c r="BWU18" s="231"/>
      <c r="BWV18" s="232"/>
      <c r="BWW18" s="233"/>
      <c r="BWX18" s="233"/>
      <c r="BWY18" s="233"/>
      <c r="BWZ18" s="233"/>
      <c r="BXA18" s="233"/>
      <c r="BXB18" s="233"/>
      <c r="BXC18" s="231"/>
      <c r="BXD18" s="231"/>
      <c r="BXE18" s="229"/>
      <c r="BXF18" s="230"/>
      <c r="BXG18" s="231"/>
      <c r="BXH18" s="232"/>
      <c r="BXI18" s="233"/>
      <c r="BXJ18" s="233"/>
      <c r="BXK18" s="233"/>
      <c r="BXL18" s="233"/>
      <c r="BXM18" s="233"/>
      <c r="BXN18" s="233"/>
      <c r="BXO18" s="231"/>
      <c r="BXP18" s="231"/>
      <c r="BXQ18" s="229"/>
      <c r="BXR18" s="230"/>
      <c r="BXS18" s="231"/>
      <c r="BXT18" s="232"/>
      <c r="BXU18" s="233"/>
      <c r="BXV18" s="233"/>
      <c r="BXW18" s="233"/>
      <c r="BXX18" s="233"/>
      <c r="BXY18" s="233"/>
      <c r="BXZ18" s="233"/>
      <c r="BYA18" s="231"/>
      <c r="BYB18" s="231"/>
      <c r="BYC18" s="229"/>
      <c r="BYD18" s="230"/>
      <c r="BYE18" s="231"/>
      <c r="BYF18" s="232"/>
      <c r="BYG18" s="233"/>
      <c r="BYH18" s="233"/>
      <c r="BYI18" s="233"/>
      <c r="BYJ18" s="233"/>
      <c r="BYK18" s="233"/>
      <c r="BYL18" s="233"/>
      <c r="BYM18" s="231"/>
      <c r="BYN18" s="231"/>
      <c r="BYO18" s="229"/>
      <c r="BYP18" s="230"/>
      <c r="BYQ18" s="231"/>
      <c r="BYR18" s="232"/>
      <c r="BYS18" s="233"/>
      <c r="BYT18" s="233"/>
      <c r="BYU18" s="233"/>
      <c r="BYV18" s="233"/>
      <c r="BYW18" s="233"/>
      <c r="BYX18" s="233"/>
      <c r="BYY18" s="231"/>
      <c r="BYZ18" s="231"/>
      <c r="BZA18" s="229"/>
      <c r="BZB18" s="230"/>
      <c r="BZC18" s="231"/>
      <c r="BZD18" s="232"/>
      <c r="BZE18" s="233"/>
      <c r="BZF18" s="233"/>
      <c r="BZG18" s="233"/>
      <c r="BZH18" s="233"/>
      <c r="BZI18" s="233"/>
      <c r="BZJ18" s="233"/>
      <c r="BZK18" s="231"/>
      <c r="BZL18" s="231"/>
      <c r="BZM18" s="229"/>
      <c r="BZN18" s="230"/>
      <c r="BZO18" s="231"/>
      <c r="BZP18" s="232"/>
      <c r="BZQ18" s="233"/>
      <c r="BZR18" s="233"/>
      <c r="BZS18" s="233"/>
      <c r="BZT18" s="233"/>
      <c r="BZU18" s="233"/>
      <c r="BZV18" s="233"/>
      <c r="BZW18" s="231"/>
      <c r="BZX18" s="231"/>
      <c r="BZY18" s="229"/>
      <c r="BZZ18" s="230"/>
      <c r="CAA18" s="231"/>
      <c r="CAB18" s="232"/>
      <c r="CAC18" s="233"/>
      <c r="CAD18" s="233"/>
      <c r="CAE18" s="233"/>
      <c r="CAF18" s="233"/>
      <c r="CAG18" s="233"/>
      <c r="CAH18" s="233"/>
      <c r="CAI18" s="231"/>
      <c r="CAJ18" s="231"/>
      <c r="CAK18" s="229"/>
      <c r="CAL18" s="230"/>
      <c r="CAM18" s="231"/>
      <c r="CAN18" s="232"/>
      <c r="CAO18" s="233"/>
      <c r="CAP18" s="233"/>
      <c r="CAQ18" s="233"/>
      <c r="CAR18" s="233"/>
      <c r="CAS18" s="233"/>
      <c r="CAT18" s="233"/>
      <c r="CAU18" s="231"/>
      <c r="CAV18" s="231"/>
      <c r="CAW18" s="229"/>
      <c r="CAX18" s="230"/>
      <c r="CAY18" s="231"/>
      <c r="CAZ18" s="232"/>
      <c r="CBA18" s="233"/>
      <c r="CBB18" s="233"/>
      <c r="CBC18" s="233"/>
      <c r="CBD18" s="233"/>
      <c r="CBE18" s="233"/>
      <c r="CBF18" s="233"/>
      <c r="CBG18" s="231"/>
      <c r="CBH18" s="231"/>
      <c r="CBI18" s="229"/>
      <c r="CBJ18" s="230"/>
      <c r="CBK18" s="231"/>
      <c r="CBL18" s="232"/>
      <c r="CBM18" s="233"/>
      <c r="CBN18" s="233"/>
      <c r="CBO18" s="233"/>
      <c r="CBP18" s="233"/>
      <c r="CBQ18" s="233"/>
      <c r="CBR18" s="233"/>
      <c r="CBS18" s="231"/>
      <c r="CBT18" s="231"/>
      <c r="CBU18" s="229"/>
      <c r="CBV18" s="230"/>
      <c r="CBW18" s="231"/>
      <c r="CBX18" s="232"/>
      <c r="CBY18" s="233"/>
      <c r="CBZ18" s="233"/>
      <c r="CCA18" s="233"/>
      <c r="CCB18" s="233"/>
      <c r="CCC18" s="233"/>
      <c r="CCD18" s="233"/>
      <c r="CCE18" s="231"/>
      <c r="CCF18" s="231"/>
      <c r="CCG18" s="229"/>
      <c r="CCH18" s="230"/>
      <c r="CCI18" s="231"/>
      <c r="CCJ18" s="232"/>
      <c r="CCK18" s="233"/>
      <c r="CCL18" s="233"/>
      <c r="CCM18" s="233"/>
      <c r="CCN18" s="233"/>
      <c r="CCO18" s="233"/>
      <c r="CCP18" s="233"/>
      <c r="CCQ18" s="231"/>
      <c r="CCR18" s="231"/>
      <c r="CCS18" s="229"/>
      <c r="CCT18" s="230"/>
      <c r="CCU18" s="231"/>
      <c r="CCV18" s="232"/>
      <c r="CCW18" s="233"/>
      <c r="CCX18" s="233"/>
      <c r="CCY18" s="233"/>
      <c r="CCZ18" s="233"/>
      <c r="CDA18" s="233"/>
      <c r="CDB18" s="233"/>
      <c r="CDC18" s="231"/>
      <c r="CDD18" s="231"/>
      <c r="CDE18" s="229"/>
      <c r="CDF18" s="230"/>
      <c r="CDG18" s="231"/>
      <c r="CDH18" s="232"/>
      <c r="CDI18" s="233"/>
      <c r="CDJ18" s="233"/>
      <c r="CDK18" s="233"/>
      <c r="CDL18" s="233"/>
      <c r="CDM18" s="233"/>
      <c r="CDN18" s="233"/>
      <c r="CDO18" s="231"/>
      <c r="CDP18" s="231"/>
      <c r="CDQ18" s="229"/>
      <c r="CDR18" s="230"/>
      <c r="CDS18" s="231"/>
      <c r="CDT18" s="232"/>
      <c r="CDU18" s="233"/>
      <c r="CDV18" s="233"/>
      <c r="CDW18" s="233"/>
      <c r="CDX18" s="233"/>
      <c r="CDY18" s="233"/>
      <c r="CDZ18" s="233"/>
      <c r="CEA18" s="231"/>
      <c r="CEB18" s="231"/>
      <c r="CEC18" s="229"/>
      <c r="CED18" s="230"/>
      <c r="CEE18" s="231"/>
      <c r="CEF18" s="232"/>
      <c r="CEG18" s="233"/>
      <c r="CEH18" s="233"/>
      <c r="CEI18" s="233"/>
      <c r="CEJ18" s="233"/>
      <c r="CEK18" s="233"/>
      <c r="CEL18" s="233"/>
      <c r="CEM18" s="231"/>
      <c r="CEN18" s="231"/>
      <c r="CEO18" s="229"/>
      <c r="CEP18" s="230"/>
      <c r="CEQ18" s="231"/>
      <c r="CER18" s="232"/>
      <c r="CES18" s="233"/>
      <c r="CET18" s="233"/>
      <c r="CEU18" s="233"/>
      <c r="CEV18" s="233"/>
      <c r="CEW18" s="233"/>
      <c r="CEX18" s="233"/>
      <c r="CEY18" s="231"/>
      <c r="CEZ18" s="231"/>
      <c r="CFA18" s="229"/>
      <c r="CFB18" s="230"/>
      <c r="CFC18" s="231"/>
      <c r="CFD18" s="232"/>
      <c r="CFE18" s="233"/>
      <c r="CFF18" s="233"/>
      <c r="CFG18" s="233"/>
      <c r="CFH18" s="233"/>
      <c r="CFI18" s="233"/>
      <c r="CFJ18" s="233"/>
      <c r="CFK18" s="231"/>
      <c r="CFL18" s="231"/>
      <c r="CFM18" s="229"/>
      <c r="CFN18" s="230"/>
      <c r="CFO18" s="231"/>
      <c r="CFP18" s="232"/>
      <c r="CFQ18" s="233"/>
      <c r="CFR18" s="233"/>
      <c r="CFS18" s="233"/>
      <c r="CFT18" s="233"/>
      <c r="CFU18" s="233"/>
      <c r="CFV18" s="233"/>
      <c r="CFW18" s="231"/>
      <c r="CFX18" s="231"/>
      <c r="CFY18" s="229"/>
      <c r="CFZ18" s="230"/>
      <c r="CGA18" s="231"/>
      <c r="CGB18" s="232"/>
      <c r="CGC18" s="233"/>
      <c r="CGD18" s="233"/>
      <c r="CGE18" s="233"/>
      <c r="CGF18" s="233"/>
      <c r="CGG18" s="233"/>
      <c r="CGH18" s="233"/>
      <c r="CGI18" s="231"/>
      <c r="CGJ18" s="231"/>
      <c r="CGK18" s="229"/>
      <c r="CGL18" s="230"/>
      <c r="CGM18" s="231"/>
      <c r="CGN18" s="232"/>
      <c r="CGO18" s="233"/>
      <c r="CGP18" s="233"/>
      <c r="CGQ18" s="233"/>
      <c r="CGR18" s="233"/>
      <c r="CGS18" s="233"/>
      <c r="CGT18" s="233"/>
      <c r="CGU18" s="231"/>
      <c r="CGV18" s="231"/>
      <c r="CGW18" s="229"/>
      <c r="CGX18" s="230"/>
      <c r="CGY18" s="231"/>
      <c r="CGZ18" s="232"/>
      <c r="CHA18" s="233"/>
      <c r="CHB18" s="233"/>
      <c r="CHC18" s="233"/>
      <c r="CHD18" s="233"/>
      <c r="CHE18" s="233"/>
      <c r="CHF18" s="233"/>
      <c r="CHG18" s="231"/>
      <c r="CHH18" s="231"/>
      <c r="CHI18" s="229"/>
      <c r="CHJ18" s="230"/>
      <c r="CHK18" s="231"/>
      <c r="CHL18" s="232"/>
      <c r="CHM18" s="233"/>
      <c r="CHN18" s="233"/>
      <c r="CHO18" s="233"/>
      <c r="CHP18" s="233"/>
      <c r="CHQ18" s="233"/>
      <c r="CHR18" s="233"/>
      <c r="CHS18" s="231"/>
      <c r="CHT18" s="231"/>
      <c r="CHU18" s="229"/>
      <c r="CHV18" s="230"/>
      <c r="CHW18" s="231"/>
      <c r="CHX18" s="232"/>
      <c r="CHY18" s="233"/>
      <c r="CHZ18" s="233"/>
      <c r="CIA18" s="233"/>
      <c r="CIB18" s="233"/>
      <c r="CIC18" s="233"/>
      <c r="CID18" s="233"/>
      <c r="CIE18" s="231"/>
      <c r="CIF18" s="231"/>
      <c r="CIG18" s="229"/>
      <c r="CIH18" s="230"/>
      <c r="CII18" s="231"/>
      <c r="CIJ18" s="232"/>
      <c r="CIK18" s="233"/>
      <c r="CIL18" s="233"/>
      <c r="CIM18" s="233"/>
      <c r="CIN18" s="233"/>
      <c r="CIO18" s="233"/>
      <c r="CIP18" s="233"/>
      <c r="CIQ18" s="231"/>
      <c r="CIR18" s="231"/>
      <c r="CIS18" s="229"/>
      <c r="CIT18" s="230"/>
      <c r="CIU18" s="231"/>
      <c r="CIV18" s="232"/>
      <c r="CIW18" s="233"/>
      <c r="CIX18" s="233"/>
      <c r="CIY18" s="233"/>
      <c r="CIZ18" s="233"/>
      <c r="CJA18" s="233"/>
      <c r="CJB18" s="233"/>
      <c r="CJC18" s="231"/>
      <c r="CJD18" s="231"/>
      <c r="CJE18" s="229"/>
      <c r="CJF18" s="230"/>
      <c r="CJG18" s="231"/>
      <c r="CJH18" s="232"/>
      <c r="CJI18" s="233"/>
      <c r="CJJ18" s="233"/>
      <c r="CJK18" s="233"/>
      <c r="CJL18" s="233"/>
      <c r="CJM18" s="233"/>
      <c r="CJN18" s="233"/>
      <c r="CJO18" s="231"/>
      <c r="CJP18" s="231"/>
      <c r="CJQ18" s="229"/>
      <c r="CJR18" s="230"/>
      <c r="CJS18" s="231"/>
      <c r="CJT18" s="232"/>
      <c r="CJU18" s="233"/>
      <c r="CJV18" s="233"/>
      <c r="CJW18" s="233"/>
      <c r="CJX18" s="233"/>
      <c r="CJY18" s="233"/>
      <c r="CJZ18" s="233"/>
      <c r="CKA18" s="231"/>
      <c r="CKB18" s="231"/>
      <c r="CKC18" s="229"/>
      <c r="CKD18" s="230"/>
      <c r="CKE18" s="231"/>
      <c r="CKF18" s="232"/>
      <c r="CKG18" s="233"/>
      <c r="CKH18" s="233"/>
      <c r="CKI18" s="233"/>
      <c r="CKJ18" s="233"/>
      <c r="CKK18" s="233"/>
      <c r="CKL18" s="233"/>
      <c r="CKM18" s="231"/>
      <c r="CKN18" s="231"/>
      <c r="CKO18" s="229"/>
      <c r="CKP18" s="230"/>
      <c r="CKQ18" s="231"/>
      <c r="CKR18" s="232"/>
      <c r="CKS18" s="233"/>
      <c r="CKT18" s="233"/>
      <c r="CKU18" s="233"/>
      <c r="CKV18" s="233"/>
      <c r="CKW18" s="233"/>
      <c r="CKX18" s="233"/>
      <c r="CKY18" s="231"/>
      <c r="CKZ18" s="231"/>
      <c r="CLA18" s="229"/>
      <c r="CLB18" s="230"/>
      <c r="CLC18" s="231"/>
      <c r="CLD18" s="232"/>
      <c r="CLE18" s="233"/>
      <c r="CLF18" s="233"/>
      <c r="CLG18" s="233"/>
      <c r="CLH18" s="233"/>
      <c r="CLI18" s="233"/>
      <c r="CLJ18" s="233"/>
      <c r="CLK18" s="231"/>
      <c r="CLL18" s="231"/>
      <c r="CLM18" s="229"/>
      <c r="CLN18" s="230"/>
      <c r="CLO18" s="231"/>
      <c r="CLP18" s="232"/>
      <c r="CLQ18" s="233"/>
      <c r="CLR18" s="233"/>
      <c r="CLS18" s="233"/>
      <c r="CLT18" s="233"/>
      <c r="CLU18" s="233"/>
      <c r="CLV18" s="233"/>
      <c r="CLW18" s="231"/>
      <c r="CLX18" s="231"/>
      <c r="CLY18" s="229"/>
      <c r="CLZ18" s="230"/>
      <c r="CMA18" s="231"/>
      <c r="CMB18" s="232"/>
      <c r="CMC18" s="233"/>
      <c r="CMD18" s="233"/>
      <c r="CME18" s="233"/>
      <c r="CMF18" s="233"/>
      <c r="CMG18" s="233"/>
      <c r="CMH18" s="233"/>
      <c r="CMI18" s="231"/>
      <c r="CMJ18" s="231"/>
      <c r="CMK18" s="229"/>
      <c r="CML18" s="230"/>
      <c r="CMM18" s="231"/>
      <c r="CMN18" s="232"/>
      <c r="CMO18" s="233"/>
      <c r="CMP18" s="233"/>
      <c r="CMQ18" s="233"/>
      <c r="CMR18" s="233"/>
      <c r="CMS18" s="233"/>
      <c r="CMT18" s="233"/>
      <c r="CMU18" s="231"/>
      <c r="CMV18" s="231"/>
      <c r="CMW18" s="229"/>
      <c r="CMX18" s="230"/>
      <c r="CMY18" s="231"/>
      <c r="CMZ18" s="232"/>
      <c r="CNA18" s="233"/>
      <c r="CNB18" s="233"/>
      <c r="CNC18" s="233"/>
      <c r="CND18" s="233"/>
      <c r="CNE18" s="233"/>
      <c r="CNF18" s="233"/>
      <c r="CNG18" s="231"/>
      <c r="CNH18" s="231"/>
      <c r="CNI18" s="229"/>
      <c r="CNJ18" s="230"/>
      <c r="CNK18" s="231"/>
      <c r="CNL18" s="232"/>
      <c r="CNM18" s="233"/>
      <c r="CNN18" s="233"/>
      <c r="CNO18" s="233"/>
      <c r="CNP18" s="233"/>
      <c r="CNQ18" s="233"/>
      <c r="CNR18" s="233"/>
      <c r="CNS18" s="231"/>
      <c r="CNT18" s="231"/>
      <c r="CNU18" s="229"/>
      <c r="CNV18" s="230"/>
      <c r="CNW18" s="231"/>
      <c r="CNX18" s="232"/>
      <c r="CNY18" s="233"/>
      <c r="CNZ18" s="233"/>
      <c r="COA18" s="233"/>
      <c r="COB18" s="233"/>
      <c r="COC18" s="233"/>
      <c r="COD18" s="233"/>
      <c r="COE18" s="231"/>
      <c r="COF18" s="231"/>
      <c r="COG18" s="229"/>
      <c r="COH18" s="230"/>
      <c r="COI18" s="231"/>
      <c r="COJ18" s="232"/>
      <c r="COK18" s="233"/>
      <c r="COL18" s="233"/>
      <c r="COM18" s="233"/>
      <c r="CON18" s="233"/>
      <c r="COO18" s="233"/>
      <c r="COP18" s="233"/>
      <c r="COQ18" s="231"/>
      <c r="COR18" s="231"/>
      <c r="COS18" s="229"/>
      <c r="COT18" s="230"/>
      <c r="COU18" s="231"/>
      <c r="COV18" s="232"/>
      <c r="COW18" s="233"/>
      <c r="COX18" s="233"/>
      <c r="COY18" s="233"/>
      <c r="COZ18" s="233"/>
      <c r="CPA18" s="233"/>
      <c r="CPB18" s="233"/>
      <c r="CPC18" s="231"/>
      <c r="CPD18" s="231"/>
      <c r="CPE18" s="229"/>
      <c r="CPF18" s="230"/>
      <c r="CPG18" s="231"/>
      <c r="CPH18" s="232"/>
      <c r="CPI18" s="233"/>
      <c r="CPJ18" s="233"/>
      <c r="CPK18" s="233"/>
      <c r="CPL18" s="233"/>
      <c r="CPM18" s="233"/>
      <c r="CPN18" s="233"/>
      <c r="CPO18" s="231"/>
      <c r="CPP18" s="231"/>
      <c r="CPQ18" s="229"/>
      <c r="CPR18" s="230"/>
      <c r="CPS18" s="231"/>
      <c r="CPT18" s="232"/>
      <c r="CPU18" s="233"/>
      <c r="CPV18" s="233"/>
      <c r="CPW18" s="233"/>
      <c r="CPX18" s="233"/>
      <c r="CPY18" s="233"/>
      <c r="CPZ18" s="233"/>
      <c r="CQA18" s="231"/>
      <c r="CQB18" s="231"/>
      <c r="CQC18" s="229"/>
      <c r="CQD18" s="230"/>
      <c r="CQE18" s="231"/>
      <c r="CQF18" s="232"/>
      <c r="CQG18" s="233"/>
      <c r="CQH18" s="233"/>
      <c r="CQI18" s="233"/>
      <c r="CQJ18" s="233"/>
      <c r="CQK18" s="233"/>
      <c r="CQL18" s="233"/>
      <c r="CQM18" s="231"/>
      <c r="CQN18" s="231"/>
      <c r="CQO18" s="229"/>
      <c r="CQP18" s="230"/>
      <c r="CQQ18" s="231"/>
      <c r="CQR18" s="232"/>
      <c r="CQS18" s="233"/>
      <c r="CQT18" s="233"/>
      <c r="CQU18" s="233"/>
      <c r="CQV18" s="233"/>
      <c r="CQW18" s="233"/>
      <c r="CQX18" s="233"/>
      <c r="CQY18" s="231"/>
      <c r="CQZ18" s="231"/>
      <c r="CRA18" s="229"/>
      <c r="CRB18" s="230"/>
      <c r="CRC18" s="231"/>
      <c r="CRD18" s="232"/>
      <c r="CRE18" s="233"/>
      <c r="CRF18" s="233"/>
      <c r="CRG18" s="233"/>
      <c r="CRH18" s="233"/>
      <c r="CRI18" s="233"/>
      <c r="CRJ18" s="233"/>
      <c r="CRK18" s="231"/>
      <c r="CRL18" s="231"/>
      <c r="CRM18" s="229"/>
      <c r="CRN18" s="230"/>
      <c r="CRO18" s="231"/>
      <c r="CRP18" s="232"/>
      <c r="CRQ18" s="233"/>
      <c r="CRR18" s="233"/>
      <c r="CRS18" s="233"/>
      <c r="CRT18" s="233"/>
      <c r="CRU18" s="233"/>
      <c r="CRV18" s="233"/>
      <c r="CRW18" s="231"/>
      <c r="CRX18" s="231"/>
      <c r="CRY18" s="229"/>
      <c r="CRZ18" s="230"/>
      <c r="CSA18" s="231"/>
      <c r="CSB18" s="232"/>
      <c r="CSC18" s="233"/>
      <c r="CSD18" s="233"/>
      <c r="CSE18" s="233"/>
      <c r="CSF18" s="233"/>
      <c r="CSG18" s="233"/>
      <c r="CSH18" s="233"/>
      <c r="CSI18" s="231"/>
      <c r="CSJ18" s="231"/>
      <c r="CSK18" s="229"/>
      <c r="CSL18" s="230"/>
      <c r="CSM18" s="231"/>
      <c r="CSN18" s="232"/>
      <c r="CSO18" s="233"/>
      <c r="CSP18" s="233"/>
      <c r="CSQ18" s="233"/>
      <c r="CSR18" s="233"/>
      <c r="CSS18" s="233"/>
      <c r="CST18" s="233"/>
      <c r="CSU18" s="231"/>
      <c r="CSV18" s="231"/>
      <c r="CSW18" s="229"/>
      <c r="CSX18" s="230"/>
      <c r="CSY18" s="231"/>
      <c r="CSZ18" s="232"/>
      <c r="CTA18" s="233"/>
      <c r="CTB18" s="233"/>
      <c r="CTC18" s="233"/>
      <c r="CTD18" s="233"/>
      <c r="CTE18" s="233"/>
      <c r="CTF18" s="233"/>
      <c r="CTG18" s="231"/>
      <c r="CTH18" s="231"/>
      <c r="CTI18" s="229"/>
      <c r="CTJ18" s="230"/>
      <c r="CTK18" s="231"/>
      <c r="CTL18" s="232"/>
      <c r="CTM18" s="233"/>
      <c r="CTN18" s="233"/>
      <c r="CTO18" s="233"/>
      <c r="CTP18" s="233"/>
      <c r="CTQ18" s="233"/>
      <c r="CTR18" s="233"/>
      <c r="CTS18" s="231"/>
      <c r="CTT18" s="231"/>
      <c r="CTU18" s="229"/>
      <c r="CTV18" s="230"/>
      <c r="CTW18" s="231"/>
      <c r="CTX18" s="232"/>
      <c r="CTY18" s="233"/>
      <c r="CTZ18" s="233"/>
      <c r="CUA18" s="233"/>
      <c r="CUB18" s="233"/>
      <c r="CUC18" s="233"/>
      <c r="CUD18" s="233"/>
      <c r="CUE18" s="231"/>
      <c r="CUF18" s="231"/>
      <c r="CUG18" s="229"/>
      <c r="CUH18" s="230"/>
      <c r="CUI18" s="231"/>
      <c r="CUJ18" s="232"/>
      <c r="CUK18" s="233"/>
      <c r="CUL18" s="233"/>
      <c r="CUM18" s="233"/>
      <c r="CUN18" s="233"/>
      <c r="CUO18" s="233"/>
      <c r="CUP18" s="233"/>
      <c r="CUQ18" s="231"/>
      <c r="CUR18" s="231"/>
      <c r="CUS18" s="229"/>
      <c r="CUT18" s="230"/>
      <c r="CUU18" s="231"/>
      <c r="CUV18" s="232"/>
      <c r="CUW18" s="233"/>
      <c r="CUX18" s="233"/>
      <c r="CUY18" s="233"/>
      <c r="CUZ18" s="233"/>
      <c r="CVA18" s="233"/>
      <c r="CVB18" s="233"/>
      <c r="CVC18" s="231"/>
      <c r="CVD18" s="231"/>
      <c r="CVE18" s="229"/>
      <c r="CVF18" s="230"/>
      <c r="CVG18" s="231"/>
      <c r="CVH18" s="232"/>
      <c r="CVI18" s="233"/>
      <c r="CVJ18" s="233"/>
      <c r="CVK18" s="233"/>
      <c r="CVL18" s="233"/>
      <c r="CVM18" s="233"/>
      <c r="CVN18" s="233"/>
      <c r="CVO18" s="231"/>
      <c r="CVP18" s="231"/>
      <c r="CVQ18" s="229"/>
      <c r="CVR18" s="230"/>
      <c r="CVS18" s="231"/>
      <c r="CVT18" s="232"/>
      <c r="CVU18" s="233"/>
      <c r="CVV18" s="233"/>
      <c r="CVW18" s="233"/>
      <c r="CVX18" s="233"/>
      <c r="CVY18" s="233"/>
      <c r="CVZ18" s="233"/>
      <c r="CWA18" s="231"/>
      <c r="CWB18" s="231"/>
      <c r="CWC18" s="229"/>
      <c r="CWD18" s="230"/>
      <c r="CWE18" s="231"/>
      <c r="CWF18" s="232"/>
      <c r="CWG18" s="233"/>
      <c r="CWH18" s="233"/>
      <c r="CWI18" s="233"/>
      <c r="CWJ18" s="233"/>
      <c r="CWK18" s="233"/>
      <c r="CWL18" s="233"/>
      <c r="CWM18" s="231"/>
      <c r="CWN18" s="231"/>
      <c r="CWO18" s="229"/>
      <c r="CWP18" s="230"/>
      <c r="CWQ18" s="231"/>
      <c r="CWR18" s="232"/>
      <c r="CWS18" s="233"/>
      <c r="CWT18" s="233"/>
      <c r="CWU18" s="233"/>
      <c r="CWV18" s="233"/>
      <c r="CWW18" s="233"/>
      <c r="CWX18" s="233"/>
      <c r="CWY18" s="231"/>
      <c r="CWZ18" s="231"/>
      <c r="CXA18" s="229"/>
      <c r="CXB18" s="230"/>
      <c r="CXC18" s="231"/>
      <c r="CXD18" s="232"/>
      <c r="CXE18" s="233"/>
      <c r="CXF18" s="233"/>
      <c r="CXG18" s="233"/>
      <c r="CXH18" s="233"/>
      <c r="CXI18" s="233"/>
      <c r="CXJ18" s="233"/>
      <c r="CXK18" s="231"/>
      <c r="CXL18" s="231"/>
      <c r="CXM18" s="229"/>
      <c r="CXN18" s="230"/>
      <c r="CXO18" s="231"/>
      <c r="CXP18" s="232"/>
      <c r="CXQ18" s="233"/>
      <c r="CXR18" s="233"/>
      <c r="CXS18" s="233"/>
      <c r="CXT18" s="233"/>
      <c r="CXU18" s="233"/>
      <c r="CXV18" s="233"/>
      <c r="CXW18" s="231"/>
      <c r="CXX18" s="231"/>
      <c r="CXY18" s="229"/>
      <c r="CXZ18" s="230"/>
      <c r="CYA18" s="231"/>
      <c r="CYB18" s="232"/>
      <c r="CYC18" s="233"/>
      <c r="CYD18" s="233"/>
      <c r="CYE18" s="233"/>
      <c r="CYF18" s="233"/>
      <c r="CYG18" s="233"/>
      <c r="CYH18" s="233"/>
      <c r="CYI18" s="231"/>
      <c r="CYJ18" s="231"/>
      <c r="CYK18" s="229"/>
      <c r="CYL18" s="230"/>
      <c r="CYM18" s="231"/>
      <c r="CYN18" s="232"/>
      <c r="CYO18" s="233"/>
      <c r="CYP18" s="233"/>
      <c r="CYQ18" s="233"/>
      <c r="CYR18" s="233"/>
      <c r="CYS18" s="233"/>
      <c r="CYT18" s="233"/>
      <c r="CYU18" s="231"/>
      <c r="CYV18" s="231"/>
      <c r="CYW18" s="229"/>
      <c r="CYX18" s="230"/>
      <c r="CYY18" s="231"/>
      <c r="CYZ18" s="232"/>
      <c r="CZA18" s="233"/>
      <c r="CZB18" s="233"/>
      <c r="CZC18" s="233"/>
      <c r="CZD18" s="233"/>
      <c r="CZE18" s="233"/>
      <c r="CZF18" s="233"/>
      <c r="CZG18" s="231"/>
      <c r="CZH18" s="231"/>
      <c r="CZI18" s="229"/>
      <c r="CZJ18" s="230"/>
      <c r="CZK18" s="231"/>
      <c r="CZL18" s="232"/>
      <c r="CZM18" s="233"/>
      <c r="CZN18" s="233"/>
      <c r="CZO18" s="233"/>
      <c r="CZP18" s="233"/>
      <c r="CZQ18" s="233"/>
      <c r="CZR18" s="233"/>
      <c r="CZS18" s="231"/>
      <c r="CZT18" s="231"/>
      <c r="CZU18" s="229"/>
      <c r="CZV18" s="230"/>
      <c r="CZW18" s="231"/>
      <c r="CZX18" s="232"/>
      <c r="CZY18" s="233"/>
      <c r="CZZ18" s="233"/>
      <c r="DAA18" s="233"/>
      <c r="DAB18" s="233"/>
      <c r="DAC18" s="233"/>
      <c r="DAD18" s="233"/>
      <c r="DAE18" s="231"/>
      <c r="DAF18" s="231"/>
      <c r="DAG18" s="229"/>
      <c r="DAH18" s="230"/>
      <c r="DAI18" s="231"/>
      <c r="DAJ18" s="232"/>
      <c r="DAK18" s="233"/>
      <c r="DAL18" s="233"/>
      <c r="DAM18" s="233"/>
      <c r="DAN18" s="233"/>
      <c r="DAO18" s="233"/>
      <c r="DAP18" s="233"/>
      <c r="DAQ18" s="231"/>
      <c r="DAR18" s="231"/>
      <c r="DAS18" s="229"/>
      <c r="DAT18" s="230"/>
      <c r="DAU18" s="231"/>
      <c r="DAV18" s="232"/>
      <c r="DAW18" s="233"/>
      <c r="DAX18" s="233"/>
      <c r="DAY18" s="233"/>
      <c r="DAZ18" s="233"/>
      <c r="DBA18" s="233"/>
      <c r="DBB18" s="233"/>
      <c r="DBC18" s="231"/>
      <c r="DBD18" s="231"/>
      <c r="DBE18" s="229"/>
      <c r="DBF18" s="230"/>
      <c r="DBG18" s="231"/>
      <c r="DBH18" s="232"/>
      <c r="DBI18" s="233"/>
      <c r="DBJ18" s="233"/>
      <c r="DBK18" s="233"/>
      <c r="DBL18" s="233"/>
      <c r="DBM18" s="233"/>
      <c r="DBN18" s="233"/>
      <c r="DBO18" s="231"/>
      <c r="DBP18" s="231"/>
      <c r="DBQ18" s="229"/>
      <c r="DBR18" s="230"/>
      <c r="DBS18" s="231"/>
      <c r="DBT18" s="232"/>
      <c r="DBU18" s="233"/>
      <c r="DBV18" s="233"/>
      <c r="DBW18" s="233"/>
      <c r="DBX18" s="233"/>
      <c r="DBY18" s="233"/>
      <c r="DBZ18" s="233"/>
      <c r="DCA18" s="231"/>
      <c r="DCB18" s="231"/>
      <c r="DCC18" s="229"/>
      <c r="DCD18" s="230"/>
      <c r="DCE18" s="231"/>
      <c r="DCF18" s="232"/>
      <c r="DCG18" s="233"/>
      <c r="DCH18" s="233"/>
      <c r="DCI18" s="233"/>
      <c r="DCJ18" s="233"/>
      <c r="DCK18" s="233"/>
      <c r="DCL18" s="233"/>
      <c r="DCM18" s="231"/>
      <c r="DCN18" s="231"/>
      <c r="DCO18" s="229"/>
      <c r="DCP18" s="230"/>
      <c r="DCQ18" s="231"/>
      <c r="DCR18" s="232"/>
      <c r="DCS18" s="233"/>
      <c r="DCT18" s="233"/>
      <c r="DCU18" s="233"/>
      <c r="DCV18" s="233"/>
      <c r="DCW18" s="233"/>
      <c r="DCX18" s="233"/>
      <c r="DCY18" s="231"/>
      <c r="DCZ18" s="231"/>
      <c r="DDA18" s="229"/>
      <c r="DDB18" s="230"/>
      <c r="DDC18" s="231"/>
      <c r="DDD18" s="232"/>
      <c r="DDE18" s="233"/>
      <c r="DDF18" s="233"/>
      <c r="DDG18" s="233"/>
      <c r="DDH18" s="233"/>
      <c r="DDI18" s="233"/>
      <c r="DDJ18" s="233"/>
      <c r="DDK18" s="231"/>
      <c r="DDL18" s="231"/>
      <c r="DDM18" s="229"/>
      <c r="DDN18" s="230"/>
      <c r="DDO18" s="231"/>
      <c r="DDP18" s="232"/>
      <c r="DDQ18" s="233"/>
      <c r="DDR18" s="233"/>
      <c r="DDS18" s="233"/>
      <c r="DDT18" s="233"/>
      <c r="DDU18" s="233"/>
      <c r="DDV18" s="233"/>
      <c r="DDW18" s="231"/>
      <c r="DDX18" s="231"/>
      <c r="DDY18" s="229"/>
      <c r="DDZ18" s="230"/>
      <c r="DEA18" s="231"/>
      <c r="DEB18" s="232"/>
      <c r="DEC18" s="233"/>
      <c r="DED18" s="233"/>
      <c r="DEE18" s="233"/>
      <c r="DEF18" s="233"/>
      <c r="DEG18" s="233"/>
      <c r="DEH18" s="233"/>
      <c r="DEI18" s="231"/>
      <c r="DEJ18" s="231"/>
      <c r="DEK18" s="229"/>
      <c r="DEL18" s="230"/>
      <c r="DEM18" s="231"/>
      <c r="DEN18" s="232"/>
      <c r="DEO18" s="233"/>
      <c r="DEP18" s="233"/>
      <c r="DEQ18" s="233"/>
      <c r="DER18" s="233"/>
      <c r="DES18" s="233"/>
      <c r="DET18" s="233"/>
      <c r="DEU18" s="231"/>
      <c r="DEV18" s="231"/>
      <c r="DEW18" s="229"/>
      <c r="DEX18" s="230"/>
      <c r="DEY18" s="231"/>
      <c r="DEZ18" s="232"/>
      <c r="DFA18" s="233"/>
      <c r="DFB18" s="233"/>
      <c r="DFC18" s="233"/>
      <c r="DFD18" s="233"/>
      <c r="DFE18" s="233"/>
      <c r="DFF18" s="233"/>
      <c r="DFG18" s="231"/>
      <c r="DFH18" s="231"/>
      <c r="DFI18" s="229"/>
      <c r="DFJ18" s="230"/>
      <c r="DFK18" s="231"/>
      <c r="DFL18" s="232"/>
      <c r="DFM18" s="233"/>
      <c r="DFN18" s="233"/>
      <c r="DFO18" s="233"/>
      <c r="DFP18" s="233"/>
      <c r="DFQ18" s="233"/>
      <c r="DFR18" s="233"/>
      <c r="DFS18" s="231"/>
      <c r="DFT18" s="231"/>
      <c r="DFU18" s="229"/>
      <c r="DFV18" s="230"/>
      <c r="DFW18" s="231"/>
      <c r="DFX18" s="232"/>
      <c r="DFY18" s="233"/>
      <c r="DFZ18" s="233"/>
      <c r="DGA18" s="233"/>
      <c r="DGB18" s="233"/>
      <c r="DGC18" s="233"/>
      <c r="DGD18" s="233"/>
      <c r="DGE18" s="231"/>
      <c r="DGF18" s="231"/>
      <c r="DGG18" s="229"/>
      <c r="DGH18" s="230"/>
      <c r="DGI18" s="231"/>
      <c r="DGJ18" s="232"/>
      <c r="DGK18" s="233"/>
      <c r="DGL18" s="233"/>
      <c r="DGM18" s="233"/>
      <c r="DGN18" s="233"/>
      <c r="DGO18" s="233"/>
      <c r="DGP18" s="233"/>
      <c r="DGQ18" s="231"/>
      <c r="DGR18" s="231"/>
      <c r="DGS18" s="229"/>
      <c r="DGT18" s="230"/>
      <c r="DGU18" s="231"/>
      <c r="DGV18" s="232"/>
      <c r="DGW18" s="233"/>
      <c r="DGX18" s="233"/>
      <c r="DGY18" s="233"/>
      <c r="DGZ18" s="233"/>
      <c r="DHA18" s="233"/>
      <c r="DHB18" s="233"/>
      <c r="DHC18" s="231"/>
      <c r="DHD18" s="231"/>
      <c r="DHE18" s="229"/>
      <c r="DHF18" s="230"/>
      <c r="DHG18" s="231"/>
      <c r="DHH18" s="232"/>
      <c r="DHI18" s="233"/>
      <c r="DHJ18" s="233"/>
      <c r="DHK18" s="233"/>
      <c r="DHL18" s="233"/>
      <c r="DHM18" s="233"/>
      <c r="DHN18" s="233"/>
      <c r="DHO18" s="231"/>
      <c r="DHP18" s="231"/>
      <c r="DHQ18" s="229"/>
      <c r="DHR18" s="230"/>
      <c r="DHS18" s="231"/>
      <c r="DHT18" s="232"/>
      <c r="DHU18" s="233"/>
      <c r="DHV18" s="233"/>
      <c r="DHW18" s="233"/>
      <c r="DHX18" s="233"/>
      <c r="DHY18" s="233"/>
      <c r="DHZ18" s="233"/>
      <c r="DIA18" s="231"/>
      <c r="DIB18" s="231"/>
      <c r="DIC18" s="229"/>
      <c r="DID18" s="230"/>
      <c r="DIE18" s="231"/>
      <c r="DIF18" s="232"/>
      <c r="DIG18" s="233"/>
      <c r="DIH18" s="233"/>
      <c r="DII18" s="233"/>
      <c r="DIJ18" s="233"/>
      <c r="DIK18" s="233"/>
      <c r="DIL18" s="233"/>
      <c r="DIM18" s="231"/>
      <c r="DIN18" s="231"/>
      <c r="DIO18" s="229"/>
      <c r="DIP18" s="230"/>
      <c r="DIQ18" s="231"/>
      <c r="DIR18" s="232"/>
      <c r="DIS18" s="233"/>
      <c r="DIT18" s="233"/>
      <c r="DIU18" s="233"/>
      <c r="DIV18" s="233"/>
      <c r="DIW18" s="233"/>
      <c r="DIX18" s="233"/>
      <c r="DIY18" s="231"/>
      <c r="DIZ18" s="231"/>
      <c r="DJA18" s="229"/>
      <c r="DJB18" s="230"/>
      <c r="DJC18" s="231"/>
      <c r="DJD18" s="232"/>
      <c r="DJE18" s="233"/>
      <c r="DJF18" s="233"/>
      <c r="DJG18" s="233"/>
      <c r="DJH18" s="233"/>
      <c r="DJI18" s="233"/>
      <c r="DJJ18" s="233"/>
      <c r="DJK18" s="231"/>
      <c r="DJL18" s="231"/>
      <c r="DJM18" s="229"/>
      <c r="DJN18" s="230"/>
      <c r="DJO18" s="231"/>
      <c r="DJP18" s="232"/>
      <c r="DJQ18" s="233"/>
      <c r="DJR18" s="233"/>
      <c r="DJS18" s="233"/>
      <c r="DJT18" s="233"/>
      <c r="DJU18" s="233"/>
      <c r="DJV18" s="233"/>
      <c r="DJW18" s="231"/>
      <c r="DJX18" s="231"/>
      <c r="DJY18" s="229"/>
      <c r="DJZ18" s="230"/>
      <c r="DKA18" s="231"/>
      <c r="DKB18" s="232"/>
      <c r="DKC18" s="233"/>
      <c r="DKD18" s="233"/>
      <c r="DKE18" s="233"/>
      <c r="DKF18" s="233"/>
      <c r="DKG18" s="233"/>
      <c r="DKH18" s="233"/>
      <c r="DKI18" s="231"/>
      <c r="DKJ18" s="231"/>
      <c r="DKK18" s="229"/>
      <c r="DKL18" s="230"/>
      <c r="DKM18" s="231"/>
      <c r="DKN18" s="232"/>
      <c r="DKO18" s="233"/>
      <c r="DKP18" s="233"/>
      <c r="DKQ18" s="233"/>
      <c r="DKR18" s="233"/>
      <c r="DKS18" s="233"/>
      <c r="DKT18" s="233"/>
      <c r="DKU18" s="231"/>
      <c r="DKV18" s="231"/>
      <c r="DKW18" s="229"/>
      <c r="DKX18" s="230"/>
      <c r="DKY18" s="231"/>
      <c r="DKZ18" s="232"/>
      <c r="DLA18" s="233"/>
      <c r="DLB18" s="233"/>
      <c r="DLC18" s="233"/>
      <c r="DLD18" s="233"/>
      <c r="DLE18" s="233"/>
      <c r="DLF18" s="233"/>
      <c r="DLG18" s="231"/>
      <c r="DLH18" s="231"/>
      <c r="DLI18" s="229"/>
      <c r="DLJ18" s="230"/>
      <c r="DLK18" s="231"/>
      <c r="DLL18" s="232"/>
      <c r="DLM18" s="233"/>
      <c r="DLN18" s="233"/>
      <c r="DLO18" s="233"/>
      <c r="DLP18" s="233"/>
      <c r="DLQ18" s="233"/>
      <c r="DLR18" s="233"/>
      <c r="DLS18" s="231"/>
      <c r="DLT18" s="231"/>
      <c r="DLU18" s="229"/>
      <c r="DLV18" s="230"/>
      <c r="DLW18" s="231"/>
      <c r="DLX18" s="232"/>
      <c r="DLY18" s="233"/>
      <c r="DLZ18" s="233"/>
      <c r="DMA18" s="233"/>
      <c r="DMB18" s="233"/>
      <c r="DMC18" s="233"/>
      <c r="DMD18" s="233"/>
      <c r="DME18" s="231"/>
      <c r="DMF18" s="231"/>
      <c r="DMG18" s="229"/>
      <c r="DMH18" s="230"/>
      <c r="DMI18" s="231"/>
      <c r="DMJ18" s="232"/>
      <c r="DMK18" s="233"/>
      <c r="DML18" s="233"/>
      <c r="DMM18" s="233"/>
      <c r="DMN18" s="233"/>
      <c r="DMO18" s="233"/>
      <c r="DMP18" s="233"/>
      <c r="DMQ18" s="231"/>
      <c r="DMR18" s="231"/>
      <c r="DMS18" s="229"/>
      <c r="DMT18" s="230"/>
      <c r="DMU18" s="231"/>
      <c r="DMV18" s="232"/>
      <c r="DMW18" s="233"/>
      <c r="DMX18" s="233"/>
      <c r="DMY18" s="233"/>
      <c r="DMZ18" s="233"/>
      <c r="DNA18" s="233"/>
      <c r="DNB18" s="233"/>
      <c r="DNC18" s="231"/>
      <c r="DND18" s="231"/>
      <c r="DNE18" s="229"/>
      <c r="DNF18" s="230"/>
      <c r="DNG18" s="231"/>
      <c r="DNH18" s="232"/>
      <c r="DNI18" s="233"/>
      <c r="DNJ18" s="233"/>
      <c r="DNK18" s="233"/>
      <c r="DNL18" s="233"/>
      <c r="DNM18" s="233"/>
      <c r="DNN18" s="233"/>
      <c r="DNO18" s="231"/>
      <c r="DNP18" s="231"/>
      <c r="DNQ18" s="229"/>
      <c r="DNR18" s="230"/>
      <c r="DNS18" s="231"/>
      <c r="DNT18" s="232"/>
      <c r="DNU18" s="233"/>
      <c r="DNV18" s="233"/>
      <c r="DNW18" s="233"/>
      <c r="DNX18" s="233"/>
      <c r="DNY18" s="233"/>
      <c r="DNZ18" s="233"/>
      <c r="DOA18" s="231"/>
      <c r="DOB18" s="231"/>
      <c r="DOC18" s="229"/>
      <c r="DOD18" s="230"/>
      <c r="DOE18" s="231"/>
      <c r="DOF18" s="232"/>
      <c r="DOG18" s="233"/>
      <c r="DOH18" s="233"/>
      <c r="DOI18" s="233"/>
      <c r="DOJ18" s="233"/>
      <c r="DOK18" s="233"/>
      <c r="DOL18" s="233"/>
      <c r="DOM18" s="231"/>
      <c r="DON18" s="231"/>
      <c r="DOO18" s="229"/>
      <c r="DOP18" s="230"/>
      <c r="DOQ18" s="231"/>
      <c r="DOR18" s="232"/>
      <c r="DOS18" s="233"/>
      <c r="DOT18" s="233"/>
      <c r="DOU18" s="233"/>
      <c r="DOV18" s="233"/>
      <c r="DOW18" s="233"/>
      <c r="DOX18" s="233"/>
      <c r="DOY18" s="231"/>
      <c r="DOZ18" s="231"/>
      <c r="DPA18" s="229"/>
      <c r="DPB18" s="230"/>
      <c r="DPC18" s="231"/>
      <c r="DPD18" s="232"/>
      <c r="DPE18" s="233"/>
      <c r="DPF18" s="233"/>
      <c r="DPG18" s="233"/>
      <c r="DPH18" s="233"/>
      <c r="DPI18" s="233"/>
      <c r="DPJ18" s="233"/>
      <c r="DPK18" s="231"/>
      <c r="DPL18" s="231"/>
      <c r="DPM18" s="229"/>
      <c r="DPN18" s="230"/>
      <c r="DPO18" s="231"/>
      <c r="DPP18" s="232"/>
      <c r="DPQ18" s="233"/>
      <c r="DPR18" s="233"/>
      <c r="DPS18" s="233"/>
      <c r="DPT18" s="233"/>
      <c r="DPU18" s="233"/>
      <c r="DPV18" s="233"/>
      <c r="DPW18" s="231"/>
      <c r="DPX18" s="231"/>
      <c r="DPY18" s="229"/>
      <c r="DPZ18" s="230"/>
      <c r="DQA18" s="231"/>
      <c r="DQB18" s="232"/>
      <c r="DQC18" s="233"/>
      <c r="DQD18" s="233"/>
      <c r="DQE18" s="233"/>
      <c r="DQF18" s="233"/>
      <c r="DQG18" s="233"/>
      <c r="DQH18" s="233"/>
      <c r="DQI18" s="231"/>
      <c r="DQJ18" s="231"/>
      <c r="DQK18" s="229"/>
      <c r="DQL18" s="230"/>
      <c r="DQM18" s="231"/>
      <c r="DQN18" s="232"/>
      <c r="DQO18" s="233"/>
      <c r="DQP18" s="233"/>
      <c r="DQQ18" s="233"/>
      <c r="DQR18" s="233"/>
      <c r="DQS18" s="233"/>
      <c r="DQT18" s="233"/>
      <c r="DQU18" s="231"/>
      <c r="DQV18" s="231"/>
      <c r="DQW18" s="229"/>
      <c r="DQX18" s="230"/>
      <c r="DQY18" s="231"/>
      <c r="DQZ18" s="232"/>
      <c r="DRA18" s="233"/>
      <c r="DRB18" s="233"/>
      <c r="DRC18" s="233"/>
      <c r="DRD18" s="233"/>
      <c r="DRE18" s="233"/>
      <c r="DRF18" s="233"/>
      <c r="DRG18" s="231"/>
      <c r="DRH18" s="231"/>
      <c r="DRI18" s="229"/>
      <c r="DRJ18" s="230"/>
      <c r="DRK18" s="231"/>
      <c r="DRL18" s="232"/>
      <c r="DRM18" s="233"/>
      <c r="DRN18" s="233"/>
      <c r="DRO18" s="233"/>
      <c r="DRP18" s="233"/>
      <c r="DRQ18" s="233"/>
      <c r="DRR18" s="233"/>
      <c r="DRS18" s="231"/>
      <c r="DRT18" s="231"/>
      <c r="DRU18" s="229"/>
      <c r="DRV18" s="230"/>
      <c r="DRW18" s="231"/>
      <c r="DRX18" s="232"/>
      <c r="DRY18" s="233"/>
      <c r="DRZ18" s="233"/>
      <c r="DSA18" s="233"/>
      <c r="DSB18" s="233"/>
      <c r="DSC18" s="233"/>
      <c r="DSD18" s="233"/>
      <c r="DSE18" s="231"/>
      <c r="DSF18" s="231"/>
      <c r="DSG18" s="229"/>
      <c r="DSH18" s="230"/>
      <c r="DSI18" s="231"/>
      <c r="DSJ18" s="232"/>
      <c r="DSK18" s="233"/>
      <c r="DSL18" s="233"/>
      <c r="DSM18" s="233"/>
      <c r="DSN18" s="233"/>
      <c r="DSO18" s="233"/>
      <c r="DSP18" s="233"/>
      <c r="DSQ18" s="231"/>
      <c r="DSR18" s="231"/>
      <c r="DSS18" s="229"/>
      <c r="DST18" s="230"/>
      <c r="DSU18" s="231"/>
      <c r="DSV18" s="232"/>
      <c r="DSW18" s="233"/>
      <c r="DSX18" s="233"/>
      <c r="DSY18" s="233"/>
      <c r="DSZ18" s="233"/>
      <c r="DTA18" s="233"/>
      <c r="DTB18" s="233"/>
      <c r="DTC18" s="231"/>
      <c r="DTD18" s="231"/>
      <c r="DTE18" s="229"/>
      <c r="DTF18" s="230"/>
      <c r="DTG18" s="231"/>
      <c r="DTH18" s="232"/>
      <c r="DTI18" s="233"/>
      <c r="DTJ18" s="233"/>
      <c r="DTK18" s="233"/>
      <c r="DTL18" s="233"/>
      <c r="DTM18" s="233"/>
      <c r="DTN18" s="233"/>
      <c r="DTO18" s="231"/>
      <c r="DTP18" s="231"/>
      <c r="DTQ18" s="229"/>
      <c r="DTR18" s="230"/>
      <c r="DTS18" s="231"/>
      <c r="DTT18" s="232"/>
      <c r="DTU18" s="233"/>
      <c r="DTV18" s="233"/>
      <c r="DTW18" s="233"/>
      <c r="DTX18" s="233"/>
      <c r="DTY18" s="233"/>
      <c r="DTZ18" s="233"/>
      <c r="DUA18" s="231"/>
      <c r="DUB18" s="231"/>
      <c r="DUC18" s="229"/>
      <c r="DUD18" s="230"/>
      <c r="DUE18" s="231"/>
      <c r="DUF18" s="232"/>
      <c r="DUG18" s="233"/>
      <c r="DUH18" s="233"/>
      <c r="DUI18" s="233"/>
      <c r="DUJ18" s="233"/>
      <c r="DUK18" s="233"/>
      <c r="DUL18" s="233"/>
      <c r="DUM18" s="231"/>
      <c r="DUN18" s="231"/>
      <c r="DUO18" s="229"/>
      <c r="DUP18" s="230"/>
      <c r="DUQ18" s="231"/>
      <c r="DUR18" s="232"/>
      <c r="DUS18" s="233"/>
      <c r="DUT18" s="233"/>
      <c r="DUU18" s="233"/>
      <c r="DUV18" s="233"/>
      <c r="DUW18" s="233"/>
      <c r="DUX18" s="233"/>
      <c r="DUY18" s="231"/>
      <c r="DUZ18" s="231"/>
      <c r="DVA18" s="229"/>
      <c r="DVB18" s="230"/>
      <c r="DVC18" s="231"/>
      <c r="DVD18" s="232"/>
      <c r="DVE18" s="233"/>
      <c r="DVF18" s="233"/>
      <c r="DVG18" s="233"/>
      <c r="DVH18" s="233"/>
      <c r="DVI18" s="233"/>
      <c r="DVJ18" s="233"/>
      <c r="DVK18" s="231"/>
      <c r="DVL18" s="231"/>
      <c r="DVM18" s="229"/>
      <c r="DVN18" s="230"/>
      <c r="DVO18" s="231"/>
      <c r="DVP18" s="232"/>
      <c r="DVQ18" s="233"/>
      <c r="DVR18" s="233"/>
      <c r="DVS18" s="233"/>
      <c r="DVT18" s="233"/>
      <c r="DVU18" s="233"/>
      <c r="DVV18" s="233"/>
      <c r="DVW18" s="231"/>
      <c r="DVX18" s="231"/>
      <c r="DVY18" s="229"/>
      <c r="DVZ18" s="230"/>
      <c r="DWA18" s="231"/>
      <c r="DWB18" s="232"/>
      <c r="DWC18" s="233"/>
      <c r="DWD18" s="233"/>
      <c r="DWE18" s="233"/>
      <c r="DWF18" s="233"/>
      <c r="DWG18" s="233"/>
      <c r="DWH18" s="233"/>
      <c r="DWI18" s="231"/>
      <c r="DWJ18" s="231"/>
      <c r="DWK18" s="229"/>
      <c r="DWL18" s="230"/>
      <c r="DWM18" s="231"/>
      <c r="DWN18" s="232"/>
      <c r="DWO18" s="233"/>
      <c r="DWP18" s="233"/>
      <c r="DWQ18" s="233"/>
      <c r="DWR18" s="233"/>
      <c r="DWS18" s="233"/>
      <c r="DWT18" s="233"/>
      <c r="DWU18" s="231"/>
      <c r="DWV18" s="231"/>
      <c r="DWW18" s="229"/>
      <c r="DWX18" s="230"/>
      <c r="DWY18" s="231"/>
      <c r="DWZ18" s="232"/>
      <c r="DXA18" s="233"/>
      <c r="DXB18" s="233"/>
      <c r="DXC18" s="233"/>
      <c r="DXD18" s="233"/>
      <c r="DXE18" s="233"/>
      <c r="DXF18" s="233"/>
      <c r="DXG18" s="231"/>
      <c r="DXH18" s="231"/>
      <c r="DXI18" s="229"/>
      <c r="DXJ18" s="230"/>
      <c r="DXK18" s="231"/>
      <c r="DXL18" s="232"/>
      <c r="DXM18" s="233"/>
      <c r="DXN18" s="233"/>
      <c r="DXO18" s="233"/>
      <c r="DXP18" s="233"/>
      <c r="DXQ18" s="233"/>
      <c r="DXR18" s="233"/>
      <c r="DXS18" s="231"/>
      <c r="DXT18" s="231"/>
      <c r="DXU18" s="229"/>
      <c r="DXV18" s="230"/>
      <c r="DXW18" s="231"/>
      <c r="DXX18" s="232"/>
      <c r="DXY18" s="233"/>
      <c r="DXZ18" s="233"/>
      <c r="DYA18" s="233"/>
      <c r="DYB18" s="233"/>
      <c r="DYC18" s="233"/>
      <c r="DYD18" s="233"/>
      <c r="DYE18" s="231"/>
      <c r="DYF18" s="231"/>
      <c r="DYG18" s="229"/>
      <c r="DYH18" s="230"/>
      <c r="DYI18" s="231"/>
      <c r="DYJ18" s="232"/>
      <c r="DYK18" s="233"/>
      <c r="DYL18" s="233"/>
      <c r="DYM18" s="233"/>
      <c r="DYN18" s="233"/>
      <c r="DYO18" s="233"/>
      <c r="DYP18" s="233"/>
      <c r="DYQ18" s="231"/>
      <c r="DYR18" s="231"/>
      <c r="DYS18" s="229"/>
      <c r="DYT18" s="230"/>
      <c r="DYU18" s="231"/>
      <c r="DYV18" s="232"/>
      <c r="DYW18" s="233"/>
      <c r="DYX18" s="233"/>
      <c r="DYY18" s="233"/>
      <c r="DYZ18" s="233"/>
      <c r="DZA18" s="233"/>
      <c r="DZB18" s="233"/>
      <c r="DZC18" s="231"/>
      <c r="DZD18" s="231"/>
      <c r="DZE18" s="229"/>
      <c r="DZF18" s="230"/>
      <c r="DZG18" s="231"/>
      <c r="DZH18" s="232"/>
      <c r="DZI18" s="233"/>
      <c r="DZJ18" s="233"/>
      <c r="DZK18" s="233"/>
      <c r="DZL18" s="233"/>
      <c r="DZM18" s="233"/>
      <c r="DZN18" s="233"/>
      <c r="DZO18" s="231"/>
      <c r="DZP18" s="231"/>
      <c r="DZQ18" s="229"/>
      <c r="DZR18" s="230"/>
      <c r="DZS18" s="231"/>
      <c r="DZT18" s="232"/>
      <c r="DZU18" s="233"/>
      <c r="DZV18" s="233"/>
      <c r="DZW18" s="233"/>
      <c r="DZX18" s="233"/>
      <c r="DZY18" s="233"/>
      <c r="DZZ18" s="233"/>
      <c r="EAA18" s="231"/>
      <c r="EAB18" s="231"/>
      <c r="EAC18" s="229"/>
      <c r="EAD18" s="230"/>
      <c r="EAE18" s="231"/>
      <c r="EAF18" s="232"/>
      <c r="EAG18" s="233"/>
      <c r="EAH18" s="233"/>
      <c r="EAI18" s="233"/>
      <c r="EAJ18" s="233"/>
      <c r="EAK18" s="233"/>
      <c r="EAL18" s="233"/>
      <c r="EAM18" s="231"/>
      <c r="EAN18" s="231"/>
      <c r="EAO18" s="229"/>
      <c r="EAP18" s="230"/>
      <c r="EAQ18" s="231"/>
      <c r="EAR18" s="232"/>
      <c r="EAS18" s="233"/>
      <c r="EAT18" s="233"/>
      <c r="EAU18" s="233"/>
      <c r="EAV18" s="233"/>
      <c r="EAW18" s="233"/>
      <c r="EAX18" s="233"/>
      <c r="EAY18" s="231"/>
      <c r="EAZ18" s="231"/>
      <c r="EBA18" s="229"/>
      <c r="EBB18" s="230"/>
      <c r="EBC18" s="231"/>
      <c r="EBD18" s="232"/>
      <c r="EBE18" s="233"/>
      <c r="EBF18" s="233"/>
      <c r="EBG18" s="233"/>
      <c r="EBH18" s="233"/>
      <c r="EBI18" s="233"/>
      <c r="EBJ18" s="233"/>
      <c r="EBK18" s="231"/>
      <c r="EBL18" s="231"/>
      <c r="EBM18" s="229"/>
      <c r="EBN18" s="230"/>
      <c r="EBO18" s="231"/>
      <c r="EBP18" s="232"/>
      <c r="EBQ18" s="233"/>
      <c r="EBR18" s="233"/>
      <c r="EBS18" s="233"/>
      <c r="EBT18" s="233"/>
      <c r="EBU18" s="233"/>
      <c r="EBV18" s="233"/>
      <c r="EBW18" s="231"/>
      <c r="EBX18" s="231"/>
      <c r="EBY18" s="229"/>
      <c r="EBZ18" s="230"/>
      <c r="ECA18" s="231"/>
      <c r="ECB18" s="232"/>
      <c r="ECC18" s="233"/>
      <c r="ECD18" s="233"/>
      <c r="ECE18" s="233"/>
      <c r="ECF18" s="233"/>
      <c r="ECG18" s="233"/>
      <c r="ECH18" s="233"/>
      <c r="ECI18" s="231"/>
      <c r="ECJ18" s="231"/>
      <c r="ECK18" s="229"/>
      <c r="ECL18" s="230"/>
      <c r="ECM18" s="231"/>
      <c r="ECN18" s="232"/>
      <c r="ECO18" s="233"/>
      <c r="ECP18" s="233"/>
      <c r="ECQ18" s="233"/>
      <c r="ECR18" s="233"/>
      <c r="ECS18" s="233"/>
      <c r="ECT18" s="233"/>
      <c r="ECU18" s="231"/>
      <c r="ECV18" s="231"/>
      <c r="ECW18" s="229"/>
      <c r="ECX18" s="230"/>
      <c r="ECY18" s="231"/>
      <c r="ECZ18" s="232"/>
      <c r="EDA18" s="233"/>
      <c r="EDB18" s="233"/>
      <c r="EDC18" s="233"/>
      <c r="EDD18" s="233"/>
      <c r="EDE18" s="233"/>
      <c r="EDF18" s="233"/>
      <c r="EDG18" s="231"/>
      <c r="EDH18" s="231"/>
      <c r="EDI18" s="229"/>
      <c r="EDJ18" s="230"/>
      <c r="EDK18" s="231"/>
      <c r="EDL18" s="232"/>
      <c r="EDM18" s="233"/>
      <c r="EDN18" s="233"/>
      <c r="EDO18" s="233"/>
      <c r="EDP18" s="233"/>
      <c r="EDQ18" s="233"/>
      <c r="EDR18" s="233"/>
      <c r="EDS18" s="231"/>
      <c r="EDT18" s="231"/>
      <c r="EDU18" s="229"/>
      <c r="EDV18" s="230"/>
      <c r="EDW18" s="231"/>
      <c r="EDX18" s="232"/>
      <c r="EDY18" s="233"/>
      <c r="EDZ18" s="233"/>
      <c r="EEA18" s="233"/>
      <c r="EEB18" s="233"/>
      <c r="EEC18" s="233"/>
      <c r="EED18" s="233"/>
      <c r="EEE18" s="231"/>
      <c r="EEF18" s="231"/>
      <c r="EEG18" s="229"/>
      <c r="EEH18" s="230"/>
      <c r="EEI18" s="231"/>
      <c r="EEJ18" s="232"/>
      <c r="EEK18" s="233"/>
      <c r="EEL18" s="233"/>
      <c r="EEM18" s="233"/>
      <c r="EEN18" s="233"/>
      <c r="EEO18" s="233"/>
      <c r="EEP18" s="233"/>
      <c r="EEQ18" s="231"/>
      <c r="EER18" s="231"/>
      <c r="EES18" s="229"/>
      <c r="EET18" s="230"/>
      <c r="EEU18" s="231"/>
      <c r="EEV18" s="232"/>
      <c r="EEW18" s="233"/>
      <c r="EEX18" s="233"/>
      <c r="EEY18" s="233"/>
      <c r="EEZ18" s="233"/>
      <c r="EFA18" s="233"/>
      <c r="EFB18" s="233"/>
      <c r="EFC18" s="231"/>
      <c r="EFD18" s="231"/>
      <c r="EFE18" s="229"/>
      <c r="EFF18" s="230"/>
      <c r="EFG18" s="231"/>
      <c r="EFH18" s="232"/>
      <c r="EFI18" s="233"/>
      <c r="EFJ18" s="233"/>
      <c r="EFK18" s="233"/>
      <c r="EFL18" s="233"/>
      <c r="EFM18" s="233"/>
      <c r="EFN18" s="233"/>
      <c r="EFO18" s="231"/>
      <c r="EFP18" s="231"/>
      <c r="EFQ18" s="229"/>
      <c r="EFR18" s="230"/>
      <c r="EFS18" s="231"/>
      <c r="EFT18" s="232"/>
      <c r="EFU18" s="233"/>
      <c r="EFV18" s="233"/>
      <c r="EFW18" s="233"/>
      <c r="EFX18" s="233"/>
      <c r="EFY18" s="233"/>
      <c r="EFZ18" s="233"/>
      <c r="EGA18" s="231"/>
      <c r="EGB18" s="231"/>
      <c r="EGC18" s="229"/>
      <c r="EGD18" s="230"/>
      <c r="EGE18" s="231"/>
      <c r="EGF18" s="232"/>
      <c r="EGG18" s="233"/>
      <c r="EGH18" s="233"/>
      <c r="EGI18" s="233"/>
      <c r="EGJ18" s="233"/>
      <c r="EGK18" s="233"/>
      <c r="EGL18" s="233"/>
      <c r="EGM18" s="231"/>
      <c r="EGN18" s="231"/>
      <c r="EGO18" s="229"/>
      <c r="EGP18" s="230"/>
      <c r="EGQ18" s="231"/>
      <c r="EGR18" s="232"/>
      <c r="EGS18" s="233"/>
      <c r="EGT18" s="233"/>
      <c r="EGU18" s="233"/>
      <c r="EGV18" s="233"/>
      <c r="EGW18" s="233"/>
      <c r="EGX18" s="233"/>
      <c r="EGY18" s="231"/>
      <c r="EGZ18" s="231"/>
      <c r="EHA18" s="229"/>
      <c r="EHB18" s="230"/>
      <c r="EHC18" s="231"/>
      <c r="EHD18" s="232"/>
      <c r="EHE18" s="233"/>
      <c r="EHF18" s="233"/>
      <c r="EHG18" s="233"/>
      <c r="EHH18" s="233"/>
      <c r="EHI18" s="233"/>
      <c r="EHJ18" s="233"/>
      <c r="EHK18" s="231"/>
      <c r="EHL18" s="231"/>
      <c r="EHM18" s="229"/>
      <c r="EHN18" s="230"/>
      <c r="EHO18" s="231"/>
      <c r="EHP18" s="232"/>
      <c r="EHQ18" s="233"/>
      <c r="EHR18" s="233"/>
      <c r="EHS18" s="233"/>
      <c r="EHT18" s="233"/>
      <c r="EHU18" s="233"/>
      <c r="EHV18" s="233"/>
      <c r="EHW18" s="231"/>
      <c r="EHX18" s="231"/>
      <c r="EHY18" s="229"/>
      <c r="EHZ18" s="230"/>
      <c r="EIA18" s="231"/>
      <c r="EIB18" s="232"/>
      <c r="EIC18" s="233"/>
      <c r="EID18" s="233"/>
      <c r="EIE18" s="233"/>
      <c r="EIF18" s="233"/>
      <c r="EIG18" s="233"/>
      <c r="EIH18" s="233"/>
      <c r="EII18" s="231"/>
      <c r="EIJ18" s="231"/>
      <c r="EIK18" s="229"/>
      <c r="EIL18" s="230"/>
      <c r="EIM18" s="231"/>
      <c r="EIN18" s="232"/>
      <c r="EIO18" s="233"/>
      <c r="EIP18" s="233"/>
      <c r="EIQ18" s="233"/>
      <c r="EIR18" s="233"/>
      <c r="EIS18" s="233"/>
      <c r="EIT18" s="233"/>
      <c r="EIU18" s="231"/>
      <c r="EIV18" s="231"/>
      <c r="EIW18" s="229"/>
      <c r="EIX18" s="230"/>
      <c r="EIY18" s="231"/>
      <c r="EIZ18" s="232"/>
      <c r="EJA18" s="233"/>
      <c r="EJB18" s="233"/>
      <c r="EJC18" s="233"/>
      <c r="EJD18" s="233"/>
      <c r="EJE18" s="233"/>
      <c r="EJF18" s="233"/>
      <c r="EJG18" s="231"/>
      <c r="EJH18" s="231"/>
      <c r="EJI18" s="229"/>
      <c r="EJJ18" s="230"/>
      <c r="EJK18" s="231"/>
      <c r="EJL18" s="232"/>
      <c r="EJM18" s="233"/>
      <c r="EJN18" s="233"/>
      <c r="EJO18" s="233"/>
      <c r="EJP18" s="233"/>
      <c r="EJQ18" s="233"/>
      <c r="EJR18" s="233"/>
      <c r="EJS18" s="231"/>
      <c r="EJT18" s="231"/>
      <c r="EJU18" s="229"/>
      <c r="EJV18" s="230"/>
      <c r="EJW18" s="231"/>
      <c r="EJX18" s="232"/>
      <c r="EJY18" s="233"/>
      <c r="EJZ18" s="233"/>
      <c r="EKA18" s="233"/>
      <c r="EKB18" s="233"/>
      <c r="EKC18" s="233"/>
      <c r="EKD18" s="233"/>
      <c r="EKE18" s="231"/>
      <c r="EKF18" s="231"/>
      <c r="EKG18" s="229"/>
      <c r="EKH18" s="230"/>
      <c r="EKI18" s="231"/>
      <c r="EKJ18" s="232"/>
      <c r="EKK18" s="233"/>
      <c r="EKL18" s="233"/>
      <c r="EKM18" s="233"/>
      <c r="EKN18" s="233"/>
      <c r="EKO18" s="233"/>
      <c r="EKP18" s="233"/>
      <c r="EKQ18" s="231"/>
      <c r="EKR18" s="231"/>
      <c r="EKS18" s="229"/>
      <c r="EKT18" s="230"/>
      <c r="EKU18" s="231"/>
      <c r="EKV18" s="232"/>
      <c r="EKW18" s="233"/>
      <c r="EKX18" s="233"/>
      <c r="EKY18" s="233"/>
      <c r="EKZ18" s="233"/>
      <c r="ELA18" s="233"/>
      <c r="ELB18" s="233"/>
      <c r="ELC18" s="231"/>
      <c r="ELD18" s="231"/>
      <c r="ELE18" s="229"/>
      <c r="ELF18" s="230"/>
      <c r="ELG18" s="231"/>
      <c r="ELH18" s="232"/>
      <c r="ELI18" s="233"/>
      <c r="ELJ18" s="233"/>
      <c r="ELK18" s="233"/>
      <c r="ELL18" s="233"/>
      <c r="ELM18" s="233"/>
      <c r="ELN18" s="233"/>
      <c r="ELO18" s="231"/>
      <c r="ELP18" s="231"/>
      <c r="ELQ18" s="229"/>
      <c r="ELR18" s="230"/>
      <c r="ELS18" s="231"/>
      <c r="ELT18" s="232"/>
      <c r="ELU18" s="233"/>
      <c r="ELV18" s="233"/>
      <c r="ELW18" s="233"/>
      <c r="ELX18" s="233"/>
      <c r="ELY18" s="233"/>
      <c r="ELZ18" s="233"/>
      <c r="EMA18" s="231"/>
      <c r="EMB18" s="231"/>
      <c r="EMC18" s="229"/>
      <c r="EMD18" s="230"/>
      <c r="EME18" s="231"/>
      <c r="EMF18" s="232"/>
      <c r="EMG18" s="233"/>
      <c r="EMH18" s="233"/>
      <c r="EMI18" s="233"/>
      <c r="EMJ18" s="233"/>
      <c r="EMK18" s="233"/>
      <c r="EML18" s="233"/>
      <c r="EMM18" s="231"/>
      <c r="EMN18" s="231"/>
      <c r="EMO18" s="229"/>
      <c r="EMP18" s="230"/>
      <c r="EMQ18" s="231"/>
      <c r="EMR18" s="232"/>
      <c r="EMS18" s="233"/>
      <c r="EMT18" s="233"/>
      <c r="EMU18" s="233"/>
      <c r="EMV18" s="233"/>
      <c r="EMW18" s="233"/>
      <c r="EMX18" s="233"/>
      <c r="EMY18" s="231"/>
      <c r="EMZ18" s="231"/>
      <c r="ENA18" s="229"/>
      <c r="ENB18" s="230"/>
      <c r="ENC18" s="231"/>
      <c r="END18" s="232"/>
      <c r="ENE18" s="233"/>
      <c r="ENF18" s="233"/>
      <c r="ENG18" s="233"/>
      <c r="ENH18" s="233"/>
      <c r="ENI18" s="233"/>
      <c r="ENJ18" s="233"/>
      <c r="ENK18" s="231"/>
      <c r="ENL18" s="231"/>
      <c r="ENM18" s="229"/>
      <c r="ENN18" s="230"/>
      <c r="ENO18" s="231"/>
      <c r="ENP18" s="232"/>
      <c r="ENQ18" s="233"/>
      <c r="ENR18" s="233"/>
      <c r="ENS18" s="233"/>
      <c r="ENT18" s="233"/>
      <c r="ENU18" s="233"/>
      <c r="ENV18" s="233"/>
      <c r="ENW18" s="231"/>
      <c r="ENX18" s="231"/>
      <c r="ENY18" s="229"/>
      <c r="ENZ18" s="230"/>
      <c r="EOA18" s="231"/>
      <c r="EOB18" s="232"/>
      <c r="EOC18" s="233"/>
      <c r="EOD18" s="233"/>
      <c r="EOE18" s="233"/>
      <c r="EOF18" s="233"/>
      <c r="EOG18" s="233"/>
      <c r="EOH18" s="233"/>
      <c r="EOI18" s="231"/>
      <c r="EOJ18" s="231"/>
      <c r="EOK18" s="229"/>
      <c r="EOL18" s="230"/>
      <c r="EOM18" s="231"/>
      <c r="EON18" s="232"/>
      <c r="EOO18" s="233"/>
      <c r="EOP18" s="233"/>
      <c r="EOQ18" s="233"/>
      <c r="EOR18" s="233"/>
      <c r="EOS18" s="233"/>
      <c r="EOT18" s="233"/>
      <c r="EOU18" s="231"/>
      <c r="EOV18" s="231"/>
      <c r="EOW18" s="229"/>
      <c r="EOX18" s="230"/>
      <c r="EOY18" s="231"/>
      <c r="EOZ18" s="232"/>
      <c r="EPA18" s="233"/>
      <c r="EPB18" s="233"/>
      <c r="EPC18" s="233"/>
      <c r="EPD18" s="233"/>
      <c r="EPE18" s="233"/>
      <c r="EPF18" s="233"/>
      <c r="EPG18" s="231"/>
      <c r="EPH18" s="231"/>
      <c r="EPI18" s="229"/>
      <c r="EPJ18" s="230"/>
      <c r="EPK18" s="231"/>
      <c r="EPL18" s="232"/>
      <c r="EPM18" s="233"/>
      <c r="EPN18" s="233"/>
      <c r="EPO18" s="233"/>
      <c r="EPP18" s="233"/>
      <c r="EPQ18" s="233"/>
      <c r="EPR18" s="233"/>
      <c r="EPS18" s="231"/>
      <c r="EPT18" s="231"/>
      <c r="EPU18" s="229"/>
      <c r="EPV18" s="230"/>
      <c r="EPW18" s="231"/>
      <c r="EPX18" s="232"/>
      <c r="EPY18" s="233"/>
      <c r="EPZ18" s="233"/>
      <c r="EQA18" s="233"/>
      <c r="EQB18" s="233"/>
      <c r="EQC18" s="233"/>
      <c r="EQD18" s="233"/>
      <c r="EQE18" s="231"/>
      <c r="EQF18" s="231"/>
      <c r="EQG18" s="229"/>
      <c r="EQH18" s="230"/>
      <c r="EQI18" s="231"/>
      <c r="EQJ18" s="232"/>
      <c r="EQK18" s="233"/>
      <c r="EQL18" s="233"/>
      <c r="EQM18" s="233"/>
      <c r="EQN18" s="233"/>
      <c r="EQO18" s="233"/>
      <c r="EQP18" s="233"/>
      <c r="EQQ18" s="231"/>
      <c r="EQR18" s="231"/>
      <c r="EQS18" s="229"/>
      <c r="EQT18" s="230"/>
      <c r="EQU18" s="231"/>
      <c r="EQV18" s="232"/>
      <c r="EQW18" s="233"/>
      <c r="EQX18" s="233"/>
      <c r="EQY18" s="233"/>
      <c r="EQZ18" s="233"/>
      <c r="ERA18" s="233"/>
      <c r="ERB18" s="233"/>
      <c r="ERC18" s="231"/>
      <c r="ERD18" s="231"/>
      <c r="ERE18" s="229"/>
      <c r="ERF18" s="230"/>
      <c r="ERG18" s="231"/>
      <c r="ERH18" s="232"/>
      <c r="ERI18" s="233"/>
      <c r="ERJ18" s="233"/>
      <c r="ERK18" s="233"/>
      <c r="ERL18" s="233"/>
      <c r="ERM18" s="233"/>
      <c r="ERN18" s="233"/>
      <c r="ERO18" s="231"/>
      <c r="ERP18" s="231"/>
      <c r="ERQ18" s="229"/>
      <c r="ERR18" s="230"/>
      <c r="ERS18" s="231"/>
      <c r="ERT18" s="232"/>
      <c r="ERU18" s="233"/>
      <c r="ERV18" s="233"/>
      <c r="ERW18" s="233"/>
      <c r="ERX18" s="233"/>
      <c r="ERY18" s="233"/>
      <c r="ERZ18" s="233"/>
      <c r="ESA18" s="231"/>
      <c r="ESB18" s="231"/>
      <c r="ESC18" s="229"/>
      <c r="ESD18" s="230"/>
      <c r="ESE18" s="231"/>
      <c r="ESF18" s="232"/>
      <c r="ESG18" s="233"/>
      <c r="ESH18" s="233"/>
      <c r="ESI18" s="233"/>
      <c r="ESJ18" s="233"/>
      <c r="ESK18" s="233"/>
      <c r="ESL18" s="233"/>
      <c r="ESM18" s="231"/>
      <c r="ESN18" s="231"/>
      <c r="ESO18" s="229"/>
      <c r="ESP18" s="230"/>
      <c r="ESQ18" s="231"/>
      <c r="ESR18" s="232"/>
      <c r="ESS18" s="233"/>
      <c r="EST18" s="233"/>
      <c r="ESU18" s="233"/>
      <c r="ESV18" s="233"/>
      <c r="ESW18" s="233"/>
      <c r="ESX18" s="233"/>
      <c r="ESY18" s="231"/>
      <c r="ESZ18" s="231"/>
      <c r="ETA18" s="229"/>
      <c r="ETB18" s="230"/>
      <c r="ETC18" s="231"/>
      <c r="ETD18" s="232"/>
      <c r="ETE18" s="233"/>
      <c r="ETF18" s="233"/>
      <c r="ETG18" s="233"/>
      <c r="ETH18" s="233"/>
      <c r="ETI18" s="233"/>
      <c r="ETJ18" s="233"/>
      <c r="ETK18" s="231"/>
      <c r="ETL18" s="231"/>
      <c r="ETM18" s="229"/>
      <c r="ETN18" s="230"/>
      <c r="ETO18" s="231"/>
      <c r="ETP18" s="232"/>
      <c r="ETQ18" s="233"/>
      <c r="ETR18" s="233"/>
      <c r="ETS18" s="233"/>
      <c r="ETT18" s="233"/>
      <c r="ETU18" s="233"/>
      <c r="ETV18" s="233"/>
      <c r="ETW18" s="231"/>
      <c r="ETX18" s="231"/>
      <c r="ETY18" s="229"/>
      <c r="ETZ18" s="230"/>
      <c r="EUA18" s="231"/>
      <c r="EUB18" s="232"/>
      <c r="EUC18" s="233"/>
      <c r="EUD18" s="233"/>
      <c r="EUE18" s="233"/>
      <c r="EUF18" s="233"/>
      <c r="EUG18" s="233"/>
      <c r="EUH18" s="233"/>
      <c r="EUI18" s="231"/>
      <c r="EUJ18" s="231"/>
      <c r="EUK18" s="229"/>
      <c r="EUL18" s="230"/>
      <c r="EUM18" s="231"/>
      <c r="EUN18" s="232"/>
      <c r="EUO18" s="233"/>
      <c r="EUP18" s="233"/>
      <c r="EUQ18" s="233"/>
      <c r="EUR18" s="233"/>
      <c r="EUS18" s="233"/>
      <c r="EUT18" s="233"/>
      <c r="EUU18" s="231"/>
      <c r="EUV18" s="231"/>
      <c r="EUW18" s="229"/>
      <c r="EUX18" s="230"/>
      <c r="EUY18" s="231"/>
      <c r="EUZ18" s="232"/>
      <c r="EVA18" s="233"/>
      <c r="EVB18" s="233"/>
      <c r="EVC18" s="233"/>
      <c r="EVD18" s="233"/>
      <c r="EVE18" s="233"/>
      <c r="EVF18" s="233"/>
      <c r="EVG18" s="231"/>
      <c r="EVH18" s="231"/>
      <c r="EVI18" s="229"/>
      <c r="EVJ18" s="230"/>
      <c r="EVK18" s="231"/>
      <c r="EVL18" s="232"/>
      <c r="EVM18" s="233"/>
      <c r="EVN18" s="233"/>
      <c r="EVO18" s="233"/>
      <c r="EVP18" s="233"/>
      <c r="EVQ18" s="233"/>
      <c r="EVR18" s="233"/>
      <c r="EVS18" s="231"/>
      <c r="EVT18" s="231"/>
      <c r="EVU18" s="229"/>
      <c r="EVV18" s="230"/>
      <c r="EVW18" s="231"/>
      <c r="EVX18" s="232"/>
      <c r="EVY18" s="233"/>
      <c r="EVZ18" s="233"/>
      <c r="EWA18" s="233"/>
      <c r="EWB18" s="233"/>
      <c r="EWC18" s="233"/>
      <c r="EWD18" s="233"/>
      <c r="EWE18" s="231"/>
      <c r="EWF18" s="231"/>
      <c r="EWG18" s="229"/>
      <c r="EWH18" s="230"/>
      <c r="EWI18" s="231"/>
      <c r="EWJ18" s="232"/>
      <c r="EWK18" s="233"/>
      <c r="EWL18" s="233"/>
      <c r="EWM18" s="233"/>
      <c r="EWN18" s="233"/>
      <c r="EWO18" s="233"/>
      <c r="EWP18" s="233"/>
      <c r="EWQ18" s="231"/>
      <c r="EWR18" s="231"/>
      <c r="EWS18" s="229"/>
      <c r="EWT18" s="230"/>
      <c r="EWU18" s="231"/>
      <c r="EWV18" s="232"/>
      <c r="EWW18" s="233"/>
      <c r="EWX18" s="233"/>
      <c r="EWY18" s="233"/>
      <c r="EWZ18" s="233"/>
      <c r="EXA18" s="233"/>
      <c r="EXB18" s="233"/>
      <c r="EXC18" s="231"/>
      <c r="EXD18" s="231"/>
      <c r="EXE18" s="229"/>
      <c r="EXF18" s="230"/>
      <c r="EXG18" s="231"/>
      <c r="EXH18" s="232"/>
      <c r="EXI18" s="233"/>
      <c r="EXJ18" s="233"/>
      <c r="EXK18" s="233"/>
      <c r="EXL18" s="233"/>
      <c r="EXM18" s="233"/>
      <c r="EXN18" s="233"/>
      <c r="EXO18" s="231"/>
      <c r="EXP18" s="231"/>
      <c r="EXQ18" s="229"/>
      <c r="EXR18" s="230"/>
      <c r="EXS18" s="231"/>
      <c r="EXT18" s="232"/>
      <c r="EXU18" s="233"/>
      <c r="EXV18" s="233"/>
      <c r="EXW18" s="233"/>
      <c r="EXX18" s="233"/>
      <c r="EXY18" s="233"/>
      <c r="EXZ18" s="233"/>
      <c r="EYA18" s="231"/>
      <c r="EYB18" s="231"/>
      <c r="EYC18" s="229"/>
      <c r="EYD18" s="230"/>
      <c r="EYE18" s="231"/>
      <c r="EYF18" s="232"/>
      <c r="EYG18" s="233"/>
      <c r="EYH18" s="233"/>
      <c r="EYI18" s="233"/>
      <c r="EYJ18" s="233"/>
      <c r="EYK18" s="233"/>
      <c r="EYL18" s="233"/>
      <c r="EYM18" s="231"/>
      <c r="EYN18" s="231"/>
      <c r="EYO18" s="229"/>
      <c r="EYP18" s="230"/>
      <c r="EYQ18" s="231"/>
      <c r="EYR18" s="232"/>
      <c r="EYS18" s="233"/>
      <c r="EYT18" s="233"/>
      <c r="EYU18" s="233"/>
      <c r="EYV18" s="233"/>
      <c r="EYW18" s="233"/>
      <c r="EYX18" s="233"/>
      <c r="EYY18" s="231"/>
      <c r="EYZ18" s="231"/>
      <c r="EZA18" s="229"/>
      <c r="EZB18" s="230"/>
      <c r="EZC18" s="231"/>
      <c r="EZD18" s="232"/>
      <c r="EZE18" s="233"/>
      <c r="EZF18" s="233"/>
      <c r="EZG18" s="233"/>
      <c r="EZH18" s="233"/>
      <c r="EZI18" s="233"/>
      <c r="EZJ18" s="233"/>
      <c r="EZK18" s="231"/>
      <c r="EZL18" s="231"/>
      <c r="EZM18" s="229"/>
      <c r="EZN18" s="230"/>
      <c r="EZO18" s="231"/>
      <c r="EZP18" s="232"/>
      <c r="EZQ18" s="233"/>
      <c r="EZR18" s="233"/>
      <c r="EZS18" s="233"/>
      <c r="EZT18" s="233"/>
      <c r="EZU18" s="233"/>
      <c r="EZV18" s="233"/>
      <c r="EZW18" s="231"/>
      <c r="EZX18" s="231"/>
      <c r="EZY18" s="229"/>
      <c r="EZZ18" s="230"/>
      <c r="FAA18" s="231"/>
      <c r="FAB18" s="232"/>
      <c r="FAC18" s="233"/>
      <c r="FAD18" s="233"/>
      <c r="FAE18" s="233"/>
      <c r="FAF18" s="233"/>
      <c r="FAG18" s="233"/>
      <c r="FAH18" s="233"/>
      <c r="FAI18" s="231"/>
      <c r="FAJ18" s="231"/>
      <c r="FAK18" s="229"/>
      <c r="FAL18" s="230"/>
      <c r="FAM18" s="231"/>
      <c r="FAN18" s="232"/>
      <c r="FAO18" s="233"/>
      <c r="FAP18" s="233"/>
      <c r="FAQ18" s="233"/>
      <c r="FAR18" s="233"/>
      <c r="FAS18" s="233"/>
      <c r="FAT18" s="233"/>
      <c r="FAU18" s="231"/>
      <c r="FAV18" s="231"/>
      <c r="FAW18" s="229"/>
      <c r="FAX18" s="230"/>
      <c r="FAY18" s="231"/>
      <c r="FAZ18" s="232"/>
      <c r="FBA18" s="233"/>
      <c r="FBB18" s="233"/>
      <c r="FBC18" s="233"/>
      <c r="FBD18" s="233"/>
      <c r="FBE18" s="233"/>
      <c r="FBF18" s="233"/>
      <c r="FBG18" s="231"/>
      <c r="FBH18" s="231"/>
      <c r="FBI18" s="229"/>
      <c r="FBJ18" s="230"/>
      <c r="FBK18" s="231"/>
      <c r="FBL18" s="232"/>
      <c r="FBM18" s="233"/>
      <c r="FBN18" s="233"/>
      <c r="FBO18" s="233"/>
      <c r="FBP18" s="233"/>
      <c r="FBQ18" s="233"/>
      <c r="FBR18" s="233"/>
      <c r="FBS18" s="231"/>
      <c r="FBT18" s="231"/>
      <c r="FBU18" s="229"/>
      <c r="FBV18" s="230"/>
      <c r="FBW18" s="231"/>
      <c r="FBX18" s="232"/>
      <c r="FBY18" s="233"/>
      <c r="FBZ18" s="233"/>
      <c r="FCA18" s="233"/>
      <c r="FCB18" s="233"/>
      <c r="FCC18" s="233"/>
      <c r="FCD18" s="233"/>
      <c r="FCE18" s="231"/>
      <c r="FCF18" s="231"/>
      <c r="FCG18" s="229"/>
      <c r="FCH18" s="230"/>
      <c r="FCI18" s="231"/>
      <c r="FCJ18" s="232"/>
      <c r="FCK18" s="233"/>
      <c r="FCL18" s="233"/>
      <c r="FCM18" s="233"/>
      <c r="FCN18" s="233"/>
      <c r="FCO18" s="233"/>
      <c r="FCP18" s="233"/>
      <c r="FCQ18" s="231"/>
      <c r="FCR18" s="231"/>
      <c r="FCS18" s="229"/>
      <c r="FCT18" s="230"/>
      <c r="FCU18" s="231"/>
      <c r="FCV18" s="232"/>
      <c r="FCW18" s="233"/>
      <c r="FCX18" s="233"/>
      <c r="FCY18" s="233"/>
      <c r="FCZ18" s="233"/>
      <c r="FDA18" s="233"/>
      <c r="FDB18" s="233"/>
      <c r="FDC18" s="231"/>
      <c r="FDD18" s="231"/>
      <c r="FDE18" s="229"/>
      <c r="FDF18" s="230"/>
      <c r="FDG18" s="231"/>
      <c r="FDH18" s="232"/>
      <c r="FDI18" s="233"/>
      <c r="FDJ18" s="233"/>
      <c r="FDK18" s="233"/>
      <c r="FDL18" s="233"/>
      <c r="FDM18" s="233"/>
      <c r="FDN18" s="233"/>
      <c r="FDO18" s="231"/>
      <c r="FDP18" s="231"/>
      <c r="FDQ18" s="229"/>
      <c r="FDR18" s="230"/>
      <c r="FDS18" s="231"/>
      <c r="FDT18" s="232"/>
      <c r="FDU18" s="233"/>
      <c r="FDV18" s="233"/>
      <c r="FDW18" s="233"/>
      <c r="FDX18" s="233"/>
      <c r="FDY18" s="233"/>
      <c r="FDZ18" s="233"/>
      <c r="FEA18" s="231"/>
      <c r="FEB18" s="231"/>
      <c r="FEC18" s="229"/>
      <c r="FED18" s="230"/>
      <c r="FEE18" s="231"/>
      <c r="FEF18" s="232"/>
      <c r="FEG18" s="233"/>
      <c r="FEH18" s="233"/>
      <c r="FEI18" s="233"/>
      <c r="FEJ18" s="233"/>
      <c r="FEK18" s="233"/>
      <c r="FEL18" s="233"/>
      <c r="FEM18" s="231"/>
      <c r="FEN18" s="231"/>
      <c r="FEO18" s="229"/>
      <c r="FEP18" s="230"/>
      <c r="FEQ18" s="231"/>
      <c r="FER18" s="232"/>
      <c r="FES18" s="233"/>
      <c r="FET18" s="233"/>
      <c r="FEU18" s="233"/>
      <c r="FEV18" s="233"/>
      <c r="FEW18" s="233"/>
      <c r="FEX18" s="233"/>
      <c r="FEY18" s="231"/>
      <c r="FEZ18" s="231"/>
      <c r="FFA18" s="229"/>
      <c r="FFB18" s="230"/>
      <c r="FFC18" s="231"/>
      <c r="FFD18" s="232"/>
      <c r="FFE18" s="233"/>
      <c r="FFF18" s="233"/>
      <c r="FFG18" s="233"/>
      <c r="FFH18" s="233"/>
      <c r="FFI18" s="233"/>
      <c r="FFJ18" s="233"/>
      <c r="FFK18" s="231"/>
      <c r="FFL18" s="231"/>
      <c r="FFM18" s="229"/>
      <c r="FFN18" s="230"/>
      <c r="FFO18" s="231"/>
      <c r="FFP18" s="232"/>
      <c r="FFQ18" s="233"/>
      <c r="FFR18" s="233"/>
      <c r="FFS18" s="233"/>
      <c r="FFT18" s="233"/>
      <c r="FFU18" s="233"/>
      <c r="FFV18" s="233"/>
      <c r="FFW18" s="231"/>
      <c r="FFX18" s="231"/>
      <c r="FFY18" s="229"/>
      <c r="FFZ18" s="230"/>
      <c r="FGA18" s="231"/>
      <c r="FGB18" s="232"/>
      <c r="FGC18" s="233"/>
      <c r="FGD18" s="233"/>
      <c r="FGE18" s="233"/>
      <c r="FGF18" s="233"/>
      <c r="FGG18" s="233"/>
      <c r="FGH18" s="233"/>
      <c r="FGI18" s="231"/>
      <c r="FGJ18" s="231"/>
      <c r="FGK18" s="229"/>
      <c r="FGL18" s="230"/>
      <c r="FGM18" s="231"/>
      <c r="FGN18" s="232"/>
      <c r="FGO18" s="233"/>
      <c r="FGP18" s="233"/>
      <c r="FGQ18" s="233"/>
      <c r="FGR18" s="233"/>
      <c r="FGS18" s="233"/>
      <c r="FGT18" s="233"/>
      <c r="FGU18" s="231"/>
      <c r="FGV18" s="231"/>
      <c r="FGW18" s="229"/>
      <c r="FGX18" s="230"/>
      <c r="FGY18" s="231"/>
      <c r="FGZ18" s="232"/>
      <c r="FHA18" s="233"/>
      <c r="FHB18" s="233"/>
      <c r="FHC18" s="233"/>
      <c r="FHD18" s="233"/>
      <c r="FHE18" s="233"/>
      <c r="FHF18" s="233"/>
      <c r="FHG18" s="231"/>
      <c r="FHH18" s="231"/>
      <c r="FHI18" s="229"/>
      <c r="FHJ18" s="230"/>
      <c r="FHK18" s="231"/>
      <c r="FHL18" s="232"/>
      <c r="FHM18" s="233"/>
      <c r="FHN18" s="233"/>
      <c r="FHO18" s="233"/>
      <c r="FHP18" s="233"/>
      <c r="FHQ18" s="233"/>
      <c r="FHR18" s="233"/>
      <c r="FHS18" s="231"/>
      <c r="FHT18" s="231"/>
      <c r="FHU18" s="229"/>
      <c r="FHV18" s="230"/>
      <c r="FHW18" s="231"/>
      <c r="FHX18" s="232"/>
      <c r="FHY18" s="233"/>
      <c r="FHZ18" s="233"/>
      <c r="FIA18" s="233"/>
      <c r="FIB18" s="233"/>
      <c r="FIC18" s="233"/>
      <c r="FID18" s="233"/>
      <c r="FIE18" s="231"/>
      <c r="FIF18" s="231"/>
      <c r="FIG18" s="229"/>
      <c r="FIH18" s="230"/>
      <c r="FII18" s="231"/>
      <c r="FIJ18" s="232"/>
      <c r="FIK18" s="233"/>
      <c r="FIL18" s="233"/>
      <c r="FIM18" s="233"/>
      <c r="FIN18" s="233"/>
      <c r="FIO18" s="233"/>
      <c r="FIP18" s="233"/>
      <c r="FIQ18" s="231"/>
      <c r="FIR18" s="231"/>
      <c r="FIS18" s="229"/>
      <c r="FIT18" s="230"/>
      <c r="FIU18" s="231"/>
      <c r="FIV18" s="232"/>
      <c r="FIW18" s="233"/>
      <c r="FIX18" s="233"/>
      <c r="FIY18" s="233"/>
      <c r="FIZ18" s="233"/>
      <c r="FJA18" s="233"/>
      <c r="FJB18" s="233"/>
      <c r="FJC18" s="231"/>
      <c r="FJD18" s="231"/>
      <c r="FJE18" s="229"/>
      <c r="FJF18" s="230"/>
      <c r="FJG18" s="231"/>
      <c r="FJH18" s="232"/>
      <c r="FJI18" s="233"/>
      <c r="FJJ18" s="233"/>
      <c r="FJK18" s="233"/>
      <c r="FJL18" s="233"/>
      <c r="FJM18" s="233"/>
      <c r="FJN18" s="233"/>
      <c r="FJO18" s="231"/>
      <c r="FJP18" s="231"/>
      <c r="FJQ18" s="229"/>
      <c r="FJR18" s="230"/>
      <c r="FJS18" s="231"/>
      <c r="FJT18" s="232"/>
      <c r="FJU18" s="233"/>
      <c r="FJV18" s="233"/>
      <c r="FJW18" s="233"/>
      <c r="FJX18" s="233"/>
      <c r="FJY18" s="233"/>
      <c r="FJZ18" s="233"/>
      <c r="FKA18" s="231"/>
      <c r="FKB18" s="231"/>
      <c r="FKC18" s="229"/>
      <c r="FKD18" s="230"/>
      <c r="FKE18" s="231"/>
      <c r="FKF18" s="232"/>
      <c r="FKG18" s="233"/>
      <c r="FKH18" s="233"/>
      <c r="FKI18" s="233"/>
      <c r="FKJ18" s="233"/>
      <c r="FKK18" s="233"/>
      <c r="FKL18" s="233"/>
      <c r="FKM18" s="231"/>
      <c r="FKN18" s="231"/>
      <c r="FKO18" s="229"/>
      <c r="FKP18" s="230"/>
      <c r="FKQ18" s="231"/>
      <c r="FKR18" s="232"/>
      <c r="FKS18" s="233"/>
      <c r="FKT18" s="233"/>
      <c r="FKU18" s="233"/>
      <c r="FKV18" s="233"/>
      <c r="FKW18" s="233"/>
      <c r="FKX18" s="233"/>
      <c r="FKY18" s="231"/>
      <c r="FKZ18" s="231"/>
      <c r="FLA18" s="229"/>
      <c r="FLB18" s="230"/>
      <c r="FLC18" s="231"/>
      <c r="FLD18" s="232"/>
      <c r="FLE18" s="233"/>
      <c r="FLF18" s="233"/>
      <c r="FLG18" s="233"/>
      <c r="FLH18" s="233"/>
      <c r="FLI18" s="233"/>
      <c r="FLJ18" s="233"/>
      <c r="FLK18" s="231"/>
      <c r="FLL18" s="231"/>
      <c r="FLM18" s="229"/>
      <c r="FLN18" s="230"/>
      <c r="FLO18" s="231"/>
      <c r="FLP18" s="232"/>
      <c r="FLQ18" s="233"/>
      <c r="FLR18" s="233"/>
      <c r="FLS18" s="233"/>
      <c r="FLT18" s="233"/>
      <c r="FLU18" s="233"/>
      <c r="FLV18" s="233"/>
      <c r="FLW18" s="231"/>
      <c r="FLX18" s="231"/>
      <c r="FLY18" s="229"/>
      <c r="FLZ18" s="230"/>
      <c r="FMA18" s="231"/>
      <c r="FMB18" s="232"/>
      <c r="FMC18" s="233"/>
      <c r="FMD18" s="233"/>
      <c r="FME18" s="233"/>
      <c r="FMF18" s="233"/>
      <c r="FMG18" s="233"/>
      <c r="FMH18" s="233"/>
      <c r="FMI18" s="231"/>
      <c r="FMJ18" s="231"/>
      <c r="FMK18" s="229"/>
      <c r="FML18" s="230"/>
      <c r="FMM18" s="231"/>
      <c r="FMN18" s="232"/>
      <c r="FMO18" s="233"/>
      <c r="FMP18" s="233"/>
      <c r="FMQ18" s="233"/>
      <c r="FMR18" s="233"/>
      <c r="FMS18" s="233"/>
      <c r="FMT18" s="233"/>
      <c r="FMU18" s="231"/>
      <c r="FMV18" s="231"/>
      <c r="FMW18" s="229"/>
      <c r="FMX18" s="230"/>
      <c r="FMY18" s="231"/>
      <c r="FMZ18" s="232"/>
      <c r="FNA18" s="233"/>
      <c r="FNB18" s="233"/>
      <c r="FNC18" s="233"/>
      <c r="FND18" s="233"/>
      <c r="FNE18" s="233"/>
      <c r="FNF18" s="233"/>
      <c r="FNG18" s="231"/>
      <c r="FNH18" s="231"/>
      <c r="FNI18" s="229"/>
      <c r="FNJ18" s="230"/>
      <c r="FNK18" s="231"/>
      <c r="FNL18" s="232"/>
      <c r="FNM18" s="233"/>
      <c r="FNN18" s="233"/>
      <c r="FNO18" s="233"/>
      <c r="FNP18" s="233"/>
      <c r="FNQ18" s="233"/>
      <c r="FNR18" s="233"/>
      <c r="FNS18" s="231"/>
      <c r="FNT18" s="231"/>
      <c r="FNU18" s="229"/>
      <c r="FNV18" s="230"/>
      <c r="FNW18" s="231"/>
      <c r="FNX18" s="232"/>
      <c r="FNY18" s="233"/>
      <c r="FNZ18" s="233"/>
      <c r="FOA18" s="233"/>
      <c r="FOB18" s="233"/>
      <c r="FOC18" s="233"/>
      <c r="FOD18" s="233"/>
      <c r="FOE18" s="231"/>
      <c r="FOF18" s="231"/>
      <c r="FOG18" s="229"/>
      <c r="FOH18" s="230"/>
      <c r="FOI18" s="231"/>
      <c r="FOJ18" s="232"/>
      <c r="FOK18" s="233"/>
      <c r="FOL18" s="233"/>
      <c r="FOM18" s="233"/>
      <c r="FON18" s="233"/>
      <c r="FOO18" s="233"/>
      <c r="FOP18" s="233"/>
      <c r="FOQ18" s="231"/>
      <c r="FOR18" s="231"/>
      <c r="FOS18" s="229"/>
      <c r="FOT18" s="230"/>
      <c r="FOU18" s="231"/>
      <c r="FOV18" s="232"/>
      <c r="FOW18" s="233"/>
      <c r="FOX18" s="233"/>
      <c r="FOY18" s="233"/>
      <c r="FOZ18" s="233"/>
      <c r="FPA18" s="233"/>
      <c r="FPB18" s="233"/>
      <c r="FPC18" s="231"/>
      <c r="FPD18" s="231"/>
      <c r="FPE18" s="229"/>
      <c r="FPF18" s="230"/>
      <c r="FPG18" s="231"/>
      <c r="FPH18" s="232"/>
      <c r="FPI18" s="233"/>
      <c r="FPJ18" s="233"/>
      <c r="FPK18" s="233"/>
      <c r="FPL18" s="233"/>
      <c r="FPM18" s="233"/>
      <c r="FPN18" s="233"/>
      <c r="FPO18" s="231"/>
      <c r="FPP18" s="231"/>
      <c r="FPQ18" s="229"/>
      <c r="FPR18" s="230"/>
      <c r="FPS18" s="231"/>
      <c r="FPT18" s="232"/>
      <c r="FPU18" s="233"/>
      <c r="FPV18" s="233"/>
      <c r="FPW18" s="233"/>
      <c r="FPX18" s="233"/>
      <c r="FPY18" s="233"/>
      <c r="FPZ18" s="233"/>
      <c r="FQA18" s="231"/>
      <c r="FQB18" s="231"/>
      <c r="FQC18" s="229"/>
      <c r="FQD18" s="230"/>
      <c r="FQE18" s="231"/>
      <c r="FQF18" s="232"/>
      <c r="FQG18" s="233"/>
      <c r="FQH18" s="233"/>
      <c r="FQI18" s="233"/>
      <c r="FQJ18" s="233"/>
      <c r="FQK18" s="233"/>
      <c r="FQL18" s="233"/>
      <c r="FQM18" s="231"/>
      <c r="FQN18" s="231"/>
      <c r="FQO18" s="229"/>
      <c r="FQP18" s="230"/>
      <c r="FQQ18" s="231"/>
      <c r="FQR18" s="232"/>
      <c r="FQS18" s="233"/>
      <c r="FQT18" s="233"/>
      <c r="FQU18" s="233"/>
      <c r="FQV18" s="233"/>
      <c r="FQW18" s="233"/>
      <c r="FQX18" s="233"/>
      <c r="FQY18" s="231"/>
      <c r="FQZ18" s="231"/>
      <c r="FRA18" s="229"/>
      <c r="FRB18" s="230"/>
      <c r="FRC18" s="231"/>
      <c r="FRD18" s="232"/>
      <c r="FRE18" s="233"/>
      <c r="FRF18" s="233"/>
      <c r="FRG18" s="233"/>
      <c r="FRH18" s="233"/>
      <c r="FRI18" s="233"/>
      <c r="FRJ18" s="233"/>
      <c r="FRK18" s="231"/>
      <c r="FRL18" s="231"/>
      <c r="FRM18" s="229"/>
      <c r="FRN18" s="230"/>
      <c r="FRO18" s="231"/>
      <c r="FRP18" s="232"/>
      <c r="FRQ18" s="233"/>
      <c r="FRR18" s="233"/>
      <c r="FRS18" s="233"/>
      <c r="FRT18" s="233"/>
      <c r="FRU18" s="233"/>
      <c r="FRV18" s="233"/>
      <c r="FRW18" s="231"/>
      <c r="FRX18" s="231"/>
      <c r="FRY18" s="229"/>
      <c r="FRZ18" s="230"/>
      <c r="FSA18" s="231"/>
      <c r="FSB18" s="232"/>
      <c r="FSC18" s="233"/>
      <c r="FSD18" s="233"/>
      <c r="FSE18" s="233"/>
      <c r="FSF18" s="233"/>
      <c r="FSG18" s="233"/>
      <c r="FSH18" s="233"/>
      <c r="FSI18" s="231"/>
      <c r="FSJ18" s="231"/>
      <c r="FSK18" s="229"/>
      <c r="FSL18" s="230"/>
      <c r="FSM18" s="231"/>
      <c r="FSN18" s="232"/>
      <c r="FSO18" s="233"/>
      <c r="FSP18" s="233"/>
      <c r="FSQ18" s="233"/>
      <c r="FSR18" s="233"/>
      <c r="FSS18" s="233"/>
      <c r="FST18" s="233"/>
      <c r="FSU18" s="231"/>
      <c r="FSV18" s="231"/>
      <c r="FSW18" s="229"/>
      <c r="FSX18" s="230"/>
      <c r="FSY18" s="231"/>
      <c r="FSZ18" s="232"/>
      <c r="FTA18" s="233"/>
      <c r="FTB18" s="233"/>
      <c r="FTC18" s="233"/>
      <c r="FTD18" s="233"/>
      <c r="FTE18" s="233"/>
      <c r="FTF18" s="233"/>
      <c r="FTG18" s="231"/>
      <c r="FTH18" s="231"/>
      <c r="FTI18" s="229"/>
      <c r="FTJ18" s="230"/>
      <c r="FTK18" s="231"/>
      <c r="FTL18" s="232"/>
      <c r="FTM18" s="233"/>
      <c r="FTN18" s="233"/>
      <c r="FTO18" s="233"/>
      <c r="FTP18" s="233"/>
      <c r="FTQ18" s="233"/>
      <c r="FTR18" s="233"/>
      <c r="FTS18" s="231"/>
      <c r="FTT18" s="231"/>
      <c r="FTU18" s="229"/>
      <c r="FTV18" s="230"/>
      <c r="FTW18" s="231"/>
      <c r="FTX18" s="232"/>
      <c r="FTY18" s="233"/>
      <c r="FTZ18" s="233"/>
      <c r="FUA18" s="233"/>
      <c r="FUB18" s="233"/>
      <c r="FUC18" s="233"/>
      <c r="FUD18" s="233"/>
      <c r="FUE18" s="231"/>
      <c r="FUF18" s="231"/>
      <c r="FUG18" s="229"/>
      <c r="FUH18" s="230"/>
      <c r="FUI18" s="231"/>
      <c r="FUJ18" s="232"/>
      <c r="FUK18" s="233"/>
      <c r="FUL18" s="233"/>
      <c r="FUM18" s="233"/>
      <c r="FUN18" s="233"/>
      <c r="FUO18" s="233"/>
      <c r="FUP18" s="233"/>
      <c r="FUQ18" s="231"/>
      <c r="FUR18" s="231"/>
      <c r="FUS18" s="229"/>
      <c r="FUT18" s="230"/>
      <c r="FUU18" s="231"/>
      <c r="FUV18" s="232"/>
      <c r="FUW18" s="233"/>
      <c r="FUX18" s="233"/>
      <c r="FUY18" s="233"/>
      <c r="FUZ18" s="233"/>
      <c r="FVA18" s="233"/>
      <c r="FVB18" s="233"/>
      <c r="FVC18" s="231"/>
      <c r="FVD18" s="231"/>
      <c r="FVE18" s="229"/>
      <c r="FVF18" s="230"/>
      <c r="FVG18" s="231"/>
      <c r="FVH18" s="232"/>
      <c r="FVI18" s="233"/>
      <c r="FVJ18" s="233"/>
      <c r="FVK18" s="233"/>
      <c r="FVL18" s="233"/>
      <c r="FVM18" s="233"/>
      <c r="FVN18" s="233"/>
      <c r="FVO18" s="231"/>
      <c r="FVP18" s="231"/>
      <c r="FVQ18" s="229"/>
      <c r="FVR18" s="230"/>
      <c r="FVS18" s="231"/>
      <c r="FVT18" s="232"/>
      <c r="FVU18" s="233"/>
      <c r="FVV18" s="233"/>
      <c r="FVW18" s="233"/>
      <c r="FVX18" s="233"/>
      <c r="FVY18" s="233"/>
      <c r="FVZ18" s="233"/>
      <c r="FWA18" s="231"/>
      <c r="FWB18" s="231"/>
      <c r="FWC18" s="229"/>
      <c r="FWD18" s="230"/>
      <c r="FWE18" s="231"/>
      <c r="FWF18" s="232"/>
      <c r="FWG18" s="233"/>
      <c r="FWH18" s="233"/>
      <c r="FWI18" s="233"/>
      <c r="FWJ18" s="233"/>
      <c r="FWK18" s="233"/>
      <c r="FWL18" s="233"/>
      <c r="FWM18" s="231"/>
      <c r="FWN18" s="231"/>
      <c r="FWO18" s="229"/>
      <c r="FWP18" s="230"/>
      <c r="FWQ18" s="231"/>
      <c r="FWR18" s="232"/>
      <c r="FWS18" s="233"/>
      <c r="FWT18" s="233"/>
      <c r="FWU18" s="233"/>
      <c r="FWV18" s="233"/>
      <c r="FWW18" s="233"/>
      <c r="FWX18" s="233"/>
      <c r="FWY18" s="231"/>
      <c r="FWZ18" s="231"/>
      <c r="FXA18" s="229"/>
      <c r="FXB18" s="230"/>
      <c r="FXC18" s="231"/>
      <c r="FXD18" s="232"/>
      <c r="FXE18" s="233"/>
      <c r="FXF18" s="233"/>
      <c r="FXG18" s="233"/>
      <c r="FXH18" s="233"/>
      <c r="FXI18" s="233"/>
      <c r="FXJ18" s="233"/>
      <c r="FXK18" s="231"/>
      <c r="FXL18" s="231"/>
      <c r="FXM18" s="229"/>
      <c r="FXN18" s="230"/>
      <c r="FXO18" s="231"/>
      <c r="FXP18" s="232"/>
      <c r="FXQ18" s="233"/>
      <c r="FXR18" s="233"/>
      <c r="FXS18" s="233"/>
      <c r="FXT18" s="233"/>
      <c r="FXU18" s="233"/>
      <c r="FXV18" s="233"/>
      <c r="FXW18" s="231"/>
      <c r="FXX18" s="231"/>
      <c r="FXY18" s="229"/>
      <c r="FXZ18" s="230"/>
      <c r="FYA18" s="231"/>
      <c r="FYB18" s="232"/>
      <c r="FYC18" s="233"/>
      <c r="FYD18" s="233"/>
      <c r="FYE18" s="233"/>
      <c r="FYF18" s="233"/>
      <c r="FYG18" s="233"/>
      <c r="FYH18" s="233"/>
      <c r="FYI18" s="231"/>
      <c r="FYJ18" s="231"/>
      <c r="FYK18" s="229"/>
      <c r="FYL18" s="230"/>
      <c r="FYM18" s="231"/>
      <c r="FYN18" s="232"/>
      <c r="FYO18" s="233"/>
      <c r="FYP18" s="233"/>
      <c r="FYQ18" s="233"/>
      <c r="FYR18" s="233"/>
      <c r="FYS18" s="233"/>
      <c r="FYT18" s="233"/>
      <c r="FYU18" s="231"/>
      <c r="FYV18" s="231"/>
      <c r="FYW18" s="229"/>
      <c r="FYX18" s="230"/>
      <c r="FYY18" s="231"/>
      <c r="FYZ18" s="232"/>
      <c r="FZA18" s="233"/>
      <c r="FZB18" s="233"/>
      <c r="FZC18" s="233"/>
      <c r="FZD18" s="233"/>
      <c r="FZE18" s="233"/>
      <c r="FZF18" s="233"/>
      <c r="FZG18" s="231"/>
      <c r="FZH18" s="231"/>
      <c r="FZI18" s="229"/>
      <c r="FZJ18" s="230"/>
      <c r="FZK18" s="231"/>
      <c r="FZL18" s="232"/>
      <c r="FZM18" s="233"/>
      <c r="FZN18" s="233"/>
      <c r="FZO18" s="233"/>
      <c r="FZP18" s="233"/>
      <c r="FZQ18" s="233"/>
      <c r="FZR18" s="233"/>
      <c r="FZS18" s="231"/>
      <c r="FZT18" s="231"/>
      <c r="FZU18" s="229"/>
      <c r="FZV18" s="230"/>
      <c r="FZW18" s="231"/>
      <c r="FZX18" s="232"/>
      <c r="FZY18" s="233"/>
      <c r="FZZ18" s="233"/>
      <c r="GAA18" s="233"/>
      <c r="GAB18" s="233"/>
      <c r="GAC18" s="233"/>
      <c r="GAD18" s="233"/>
      <c r="GAE18" s="231"/>
      <c r="GAF18" s="231"/>
      <c r="GAG18" s="229"/>
      <c r="GAH18" s="230"/>
      <c r="GAI18" s="231"/>
      <c r="GAJ18" s="232"/>
      <c r="GAK18" s="233"/>
      <c r="GAL18" s="233"/>
      <c r="GAM18" s="233"/>
      <c r="GAN18" s="233"/>
      <c r="GAO18" s="233"/>
      <c r="GAP18" s="233"/>
      <c r="GAQ18" s="231"/>
      <c r="GAR18" s="231"/>
      <c r="GAS18" s="229"/>
      <c r="GAT18" s="230"/>
      <c r="GAU18" s="231"/>
      <c r="GAV18" s="232"/>
      <c r="GAW18" s="233"/>
      <c r="GAX18" s="233"/>
      <c r="GAY18" s="233"/>
      <c r="GAZ18" s="233"/>
      <c r="GBA18" s="233"/>
      <c r="GBB18" s="233"/>
      <c r="GBC18" s="231"/>
      <c r="GBD18" s="231"/>
      <c r="GBE18" s="229"/>
      <c r="GBF18" s="230"/>
      <c r="GBG18" s="231"/>
      <c r="GBH18" s="232"/>
      <c r="GBI18" s="233"/>
      <c r="GBJ18" s="233"/>
      <c r="GBK18" s="233"/>
      <c r="GBL18" s="233"/>
      <c r="GBM18" s="233"/>
      <c r="GBN18" s="233"/>
      <c r="GBO18" s="231"/>
      <c r="GBP18" s="231"/>
      <c r="GBQ18" s="229"/>
      <c r="GBR18" s="230"/>
      <c r="GBS18" s="231"/>
      <c r="GBT18" s="232"/>
      <c r="GBU18" s="233"/>
      <c r="GBV18" s="233"/>
      <c r="GBW18" s="233"/>
      <c r="GBX18" s="233"/>
      <c r="GBY18" s="233"/>
      <c r="GBZ18" s="233"/>
      <c r="GCA18" s="231"/>
      <c r="GCB18" s="231"/>
      <c r="GCC18" s="229"/>
      <c r="GCD18" s="230"/>
      <c r="GCE18" s="231"/>
      <c r="GCF18" s="232"/>
      <c r="GCG18" s="233"/>
      <c r="GCH18" s="233"/>
      <c r="GCI18" s="233"/>
      <c r="GCJ18" s="233"/>
      <c r="GCK18" s="233"/>
      <c r="GCL18" s="233"/>
      <c r="GCM18" s="231"/>
      <c r="GCN18" s="231"/>
      <c r="GCO18" s="229"/>
      <c r="GCP18" s="230"/>
      <c r="GCQ18" s="231"/>
      <c r="GCR18" s="232"/>
      <c r="GCS18" s="233"/>
      <c r="GCT18" s="233"/>
      <c r="GCU18" s="233"/>
      <c r="GCV18" s="233"/>
      <c r="GCW18" s="233"/>
      <c r="GCX18" s="233"/>
      <c r="GCY18" s="231"/>
      <c r="GCZ18" s="231"/>
      <c r="GDA18" s="229"/>
      <c r="GDB18" s="230"/>
      <c r="GDC18" s="231"/>
      <c r="GDD18" s="232"/>
      <c r="GDE18" s="233"/>
      <c r="GDF18" s="233"/>
      <c r="GDG18" s="233"/>
      <c r="GDH18" s="233"/>
      <c r="GDI18" s="233"/>
      <c r="GDJ18" s="233"/>
      <c r="GDK18" s="231"/>
      <c r="GDL18" s="231"/>
      <c r="GDM18" s="229"/>
      <c r="GDN18" s="230"/>
      <c r="GDO18" s="231"/>
      <c r="GDP18" s="232"/>
      <c r="GDQ18" s="233"/>
      <c r="GDR18" s="233"/>
      <c r="GDS18" s="233"/>
      <c r="GDT18" s="233"/>
      <c r="GDU18" s="233"/>
      <c r="GDV18" s="233"/>
      <c r="GDW18" s="231"/>
      <c r="GDX18" s="231"/>
      <c r="GDY18" s="229"/>
      <c r="GDZ18" s="230"/>
      <c r="GEA18" s="231"/>
      <c r="GEB18" s="232"/>
      <c r="GEC18" s="233"/>
      <c r="GED18" s="233"/>
      <c r="GEE18" s="233"/>
      <c r="GEF18" s="233"/>
      <c r="GEG18" s="233"/>
      <c r="GEH18" s="233"/>
      <c r="GEI18" s="231"/>
      <c r="GEJ18" s="231"/>
      <c r="GEK18" s="229"/>
      <c r="GEL18" s="230"/>
      <c r="GEM18" s="231"/>
      <c r="GEN18" s="232"/>
      <c r="GEO18" s="233"/>
      <c r="GEP18" s="233"/>
      <c r="GEQ18" s="233"/>
      <c r="GER18" s="233"/>
      <c r="GES18" s="233"/>
      <c r="GET18" s="233"/>
      <c r="GEU18" s="231"/>
      <c r="GEV18" s="231"/>
      <c r="GEW18" s="229"/>
      <c r="GEX18" s="230"/>
      <c r="GEY18" s="231"/>
      <c r="GEZ18" s="232"/>
      <c r="GFA18" s="233"/>
      <c r="GFB18" s="233"/>
      <c r="GFC18" s="233"/>
      <c r="GFD18" s="233"/>
      <c r="GFE18" s="233"/>
      <c r="GFF18" s="233"/>
      <c r="GFG18" s="231"/>
      <c r="GFH18" s="231"/>
      <c r="GFI18" s="229"/>
      <c r="GFJ18" s="230"/>
      <c r="GFK18" s="231"/>
      <c r="GFL18" s="232"/>
      <c r="GFM18" s="233"/>
      <c r="GFN18" s="233"/>
      <c r="GFO18" s="233"/>
      <c r="GFP18" s="233"/>
      <c r="GFQ18" s="233"/>
      <c r="GFR18" s="233"/>
      <c r="GFS18" s="231"/>
      <c r="GFT18" s="231"/>
      <c r="GFU18" s="229"/>
      <c r="GFV18" s="230"/>
      <c r="GFW18" s="231"/>
      <c r="GFX18" s="232"/>
      <c r="GFY18" s="233"/>
      <c r="GFZ18" s="233"/>
      <c r="GGA18" s="233"/>
      <c r="GGB18" s="233"/>
      <c r="GGC18" s="233"/>
      <c r="GGD18" s="233"/>
      <c r="GGE18" s="231"/>
      <c r="GGF18" s="231"/>
      <c r="GGG18" s="229"/>
      <c r="GGH18" s="230"/>
      <c r="GGI18" s="231"/>
      <c r="GGJ18" s="232"/>
      <c r="GGK18" s="233"/>
      <c r="GGL18" s="233"/>
      <c r="GGM18" s="233"/>
      <c r="GGN18" s="233"/>
      <c r="GGO18" s="233"/>
      <c r="GGP18" s="233"/>
      <c r="GGQ18" s="231"/>
      <c r="GGR18" s="231"/>
      <c r="GGS18" s="229"/>
      <c r="GGT18" s="230"/>
      <c r="GGU18" s="231"/>
      <c r="GGV18" s="232"/>
      <c r="GGW18" s="233"/>
      <c r="GGX18" s="233"/>
      <c r="GGY18" s="233"/>
      <c r="GGZ18" s="233"/>
      <c r="GHA18" s="233"/>
      <c r="GHB18" s="233"/>
      <c r="GHC18" s="231"/>
      <c r="GHD18" s="231"/>
      <c r="GHE18" s="229"/>
      <c r="GHF18" s="230"/>
      <c r="GHG18" s="231"/>
      <c r="GHH18" s="232"/>
      <c r="GHI18" s="233"/>
      <c r="GHJ18" s="233"/>
      <c r="GHK18" s="233"/>
      <c r="GHL18" s="233"/>
      <c r="GHM18" s="233"/>
      <c r="GHN18" s="233"/>
      <c r="GHO18" s="231"/>
      <c r="GHP18" s="231"/>
      <c r="GHQ18" s="229"/>
      <c r="GHR18" s="230"/>
      <c r="GHS18" s="231"/>
      <c r="GHT18" s="232"/>
      <c r="GHU18" s="233"/>
      <c r="GHV18" s="233"/>
      <c r="GHW18" s="233"/>
      <c r="GHX18" s="233"/>
      <c r="GHY18" s="233"/>
      <c r="GHZ18" s="233"/>
      <c r="GIA18" s="231"/>
      <c r="GIB18" s="231"/>
      <c r="GIC18" s="229"/>
      <c r="GID18" s="230"/>
      <c r="GIE18" s="231"/>
      <c r="GIF18" s="232"/>
      <c r="GIG18" s="233"/>
      <c r="GIH18" s="233"/>
      <c r="GII18" s="233"/>
      <c r="GIJ18" s="233"/>
      <c r="GIK18" s="233"/>
      <c r="GIL18" s="233"/>
      <c r="GIM18" s="231"/>
      <c r="GIN18" s="231"/>
      <c r="GIO18" s="229"/>
      <c r="GIP18" s="230"/>
      <c r="GIQ18" s="231"/>
      <c r="GIR18" s="232"/>
      <c r="GIS18" s="233"/>
      <c r="GIT18" s="233"/>
      <c r="GIU18" s="233"/>
      <c r="GIV18" s="233"/>
      <c r="GIW18" s="233"/>
      <c r="GIX18" s="233"/>
      <c r="GIY18" s="231"/>
      <c r="GIZ18" s="231"/>
      <c r="GJA18" s="229"/>
      <c r="GJB18" s="230"/>
      <c r="GJC18" s="231"/>
      <c r="GJD18" s="232"/>
      <c r="GJE18" s="233"/>
      <c r="GJF18" s="233"/>
      <c r="GJG18" s="233"/>
      <c r="GJH18" s="233"/>
      <c r="GJI18" s="233"/>
      <c r="GJJ18" s="233"/>
      <c r="GJK18" s="231"/>
      <c r="GJL18" s="231"/>
      <c r="GJM18" s="229"/>
      <c r="GJN18" s="230"/>
      <c r="GJO18" s="231"/>
      <c r="GJP18" s="232"/>
      <c r="GJQ18" s="233"/>
      <c r="GJR18" s="233"/>
      <c r="GJS18" s="233"/>
      <c r="GJT18" s="233"/>
      <c r="GJU18" s="233"/>
      <c r="GJV18" s="233"/>
      <c r="GJW18" s="231"/>
      <c r="GJX18" s="231"/>
      <c r="GJY18" s="229"/>
      <c r="GJZ18" s="230"/>
      <c r="GKA18" s="231"/>
      <c r="GKB18" s="232"/>
      <c r="GKC18" s="233"/>
      <c r="GKD18" s="233"/>
      <c r="GKE18" s="233"/>
      <c r="GKF18" s="233"/>
      <c r="GKG18" s="233"/>
      <c r="GKH18" s="233"/>
      <c r="GKI18" s="231"/>
      <c r="GKJ18" s="231"/>
      <c r="GKK18" s="229"/>
      <c r="GKL18" s="230"/>
      <c r="GKM18" s="231"/>
      <c r="GKN18" s="232"/>
      <c r="GKO18" s="233"/>
      <c r="GKP18" s="233"/>
      <c r="GKQ18" s="233"/>
      <c r="GKR18" s="233"/>
      <c r="GKS18" s="233"/>
      <c r="GKT18" s="233"/>
      <c r="GKU18" s="231"/>
      <c r="GKV18" s="231"/>
      <c r="GKW18" s="229"/>
      <c r="GKX18" s="230"/>
      <c r="GKY18" s="231"/>
      <c r="GKZ18" s="232"/>
      <c r="GLA18" s="233"/>
      <c r="GLB18" s="233"/>
      <c r="GLC18" s="233"/>
      <c r="GLD18" s="233"/>
      <c r="GLE18" s="233"/>
      <c r="GLF18" s="233"/>
      <c r="GLG18" s="231"/>
      <c r="GLH18" s="231"/>
      <c r="GLI18" s="229"/>
      <c r="GLJ18" s="230"/>
      <c r="GLK18" s="231"/>
      <c r="GLL18" s="232"/>
      <c r="GLM18" s="233"/>
      <c r="GLN18" s="233"/>
      <c r="GLO18" s="233"/>
      <c r="GLP18" s="233"/>
      <c r="GLQ18" s="233"/>
      <c r="GLR18" s="233"/>
      <c r="GLS18" s="231"/>
      <c r="GLT18" s="231"/>
      <c r="GLU18" s="229"/>
      <c r="GLV18" s="230"/>
      <c r="GLW18" s="231"/>
      <c r="GLX18" s="232"/>
      <c r="GLY18" s="233"/>
      <c r="GLZ18" s="233"/>
      <c r="GMA18" s="233"/>
      <c r="GMB18" s="233"/>
      <c r="GMC18" s="233"/>
      <c r="GMD18" s="233"/>
      <c r="GME18" s="231"/>
      <c r="GMF18" s="231"/>
      <c r="GMG18" s="229"/>
      <c r="GMH18" s="230"/>
      <c r="GMI18" s="231"/>
      <c r="GMJ18" s="232"/>
      <c r="GMK18" s="233"/>
      <c r="GML18" s="233"/>
      <c r="GMM18" s="233"/>
      <c r="GMN18" s="233"/>
      <c r="GMO18" s="233"/>
      <c r="GMP18" s="233"/>
      <c r="GMQ18" s="231"/>
      <c r="GMR18" s="231"/>
      <c r="GMS18" s="229"/>
      <c r="GMT18" s="230"/>
      <c r="GMU18" s="231"/>
      <c r="GMV18" s="232"/>
      <c r="GMW18" s="233"/>
      <c r="GMX18" s="233"/>
      <c r="GMY18" s="233"/>
      <c r="GMZ18" s="233"/>
      <c r="GNA18" s="233"/>
      <c r="GNB18" s="233"/>
      <c r="GNC18" s="231"/>
      <c r="GND18" s="231"/>
      <c r="GNE18" s="229"/>
      <c r="GNF18" s="230"/>
      <c r="GNG18" s="231"/>
      <c r="GNH18" s="232"/>
      <c r="GNI18" s="233"/>
      <c r="GNJ18" s="233"/>
      <c r="GNK18" s="233"/>
      <c r="GNL18" s="233"/>
      <c r="GNM18" s="233"/>
      <c r="GNN18" s="233"/>
      <c r="GNO18" s="231"/>
      <c r="GNP18" s="231"/>
      <c r="GNQ18" s="229"/>
      <c r="GNR18" s="230"/>
      <c r="GNS18" s="231"/>
      <c r="GNT18" s="232"/>
      <c r="GNU18" s="233"/>
      <c r="GNV18" s="233"/>
      <c r="GNW18" s="233"/>
      <c r="GNX18" s="233"/>
      <c r="GNY18" s="233"/>
      <c r="GNZ18" s="233"/>
      <c r="GOA18" s="231"/>
      <c r="GOB18" s="231"/>
      <c r="GOC18" s="229"/>
      <c r="GOD18" s="230"/>
      <c r="GOE18" s="231"/>
      <c r="GOF18" s="232"/>
      <c r="GOG18" s="233"/>
      <c r="GOH18" s="233"/>
      <c r="GOI18" s="233"/>
      <c r="GOJ18" s="233"/>
      <c r="GOK18" s="233"/>
      <c r="GOL18" s="233"/>
      <c r="GOM18" s="231"/>
      <c r="GON18" s="231"/>
      <c r="GOO18" s="229"/>
      <c r="GOP18" s="230"/>
      <c r="GOQ18" s="231"/>
      <c r="GOR18" s="232"/>
      <c r="GOS18" s="233"/>
      <c r="GOT18" s="233"/>
      <c r="GOU18" s="233"/>
      <c r="GOV18" s="233"/>
      <c r="GOW18" s="233"/>
      <c r="GOX18" s="233"/>
      <c r="GOY18" s="231"/>
      <c r="GOZ18" s="231"/>
      <c r="GPA18" s="229"/>
      <c r="GPB18" s="230"/>
      <c r="GPC18" s="231"/>
      <c r="GPD18" s="232"/>
      <c r="GPE18" s="233"/>
      <c r="GPF18" s="233"/>
      <c r="GPG18" s="233"/>
      <c r="GPH18" s="233"/>
      <c r="GPI18" s="233"/>
      <c r="GPJ18" s="233"/>
      <c r="GPK18" s="231"/>
      <c r="GPL18" s="231"/>
      <c r="GPM18" s="229"/>
      <c r="GPN18" s="230"/>
      <c r="GPO18" s="231"/>
      <c r="GPP18" s="232"/>
      <c r="GPQ18" s="233"/>
      <c r="GPR18" s="233"/>
      <c r="GPS18" s="233"/>
      <c r="GPT18" s="233"/>
      <c r="GPU18" s="233"/>
      <c r="GPV18" s="233"/>
      <c r="GPW18" s="231"/>
      <c r="GPX18" s="231"/>
      <c r="GPY18" s="229"/>
      <c r="GPZ18" s="230"/>
      <c r="GQA18" s="231"/>
      <c r="GQB18" s="232"/>
      <c r="GQC18" s="233"/>
      <c r="GQD18" s="233"/>
      <c r="GQE18" s="233"/>
      <c r="GQF18" s="233"/>
      <c r="GQG18" s="233"/>
      <c r="GQH18" s="233"/>
      <c r="GQI18" s="231"/>
      <c r="GQJ18" s="231"/>
      <c r="GQK18" s="229"/>
      <c r="GQL18" s="230"/>
      <c r="GQM18" s="231"/>
      <c r="GQN18" s="232"/>
      <c r="GQO18" s="233"/>
      <c r="GQP18" s="233"/>
      <c r="GQQ18" s="233"/>
      <c r="GQR18" s="233"/>
      <c r="GQS18" s="233"/>
      <c r="GQT18" s="233"/>
      <c r="GQU18" s="231"/>
      <c r="GQV18" s="231"/>
      <c r="GQW18" s="229"/>
      <c r="GQX18" s="230"/>
      <c r="GQY18" s="231"/>
      <c r="GQZ18" s="232"/>
      <c r="GRA18" s="233"/>
      <c r="GRB18" s="233"/>
      <c r="GRC18" s="233"/>
      <c r="GRD18" s="233"/>
      <c r="GRE18" s="233"/>
      <c r="GRF18" s="233"/>
      <c r="GRG18" s="231"/>
      <c r="GRH18" s="231"/>
      <c r="GRI18" s="229"/>
      <c r="GRJ18" s="230"/>
      <c r="GRK18" s="231"/>
      <c r="GRL18" s="232"/>
      <c r="GRM18" s="233"/>
      <c r="GRN18" s="233"/>
      <c r="GRO18" s="233"/>
      <c r="GRP18" s="233"/>
      <c r="GRQ18" s="233"/>
      <c r="GRR18" s="233"/>
      <c r="GRS18" s="231"/>
      <c r="GRT18" s="231"/>
      <c r="GRU18" s="229"/>
      <c r="GRV18" s="230"/>
      <c r="GRW18" s="231"/>
      <c r="GRX18" s="232"/>
      <c r="GRY18" s="233"/>
      <c r="GRZ18" s="233"/>
      <c r="GSA18" s="233"/>
      <c r="GSB18" s="233"/>
      <c r="GSC18" s="233"/>
      <c r="GSD18" s="233"/>
      <c r="GSE18" s="231"/>
      <c r="GSF18" s="231"/>
      <c r="GSG18" s="229"/>
      <c r="GSH18" s="230"/>
      <c r="GSI18" s="231"/>
      <c r="GSJ18" s="232"/>
      <c r="GSK18" s="233"/>
      <c r="GSL18" s="233"/>
      <c r="GSM18" s="233"/>
      <c r="GSN18" s="233"/>
      <c r="GSO18" s="233"/>
      <c r="GSP18" s="233"/>
      <c r="GSQ18" s="231"/>
      <c r="GSR18" s="231"/>
      <c r="GSS18" s="229"/>
      <c r="GST18" s="230"/>
      <c r="GSU18" s="231"/>
      <c r="GSV18" s="232"/>
      <c r="GSW18" s="233"/>
      <c r="GSX18" s="233"/>
      <c r="GSY18" s="233"/>
      <c r="GSZ18" s="233"/>
      <c r="GTA18" s="233"/>
      <c r="GTB18" s="233"/>
      <c r="GTC18" s="231"/>
      <c r="GTD18" s="231"/>
      <c r="GTE18" s="229"/>
      <c r="GTF18" s="230"/>
      <c r="GTG18" s="231"/>
      <c r="GTH18" s="232"/>
      <c r="GTI18" s="233"/>
      <c r="GTJ18" s="233"/>
      <c r="GTK18" s="233"/>
      <c r="GTL18" s="233"/>
      <c r="GTM18" s="233"/>
      <c r="GTN18" s="233"/>
      <c r="GTO18" s="231"/>
      <c r="GTP18" s="231"/>
      <c r="GTQ18" s="229"/>
      <c r="GTR18" s="230"/>
      <c r="GTS18" s="231"/>
      <c r="GTT18" s="232"/>
      <c r="GTU18" s="233"/>
      <c r="GTV18" s="233"/>
      <c r="GTW18" s="233"/>
      <c r="GTX18" s="233"/>
      <c r="GTY18" s="233"/>
      <c r="GTZ18" s="233"/>
      <c r="GUA18" s="231"/>
      <c r="GUB18" s="231"/>
      <c r="GUC18" s="229"/>
      <c r="GUD18" s="230"/>
      <c r="GUE18" s="231"/>
      <c r="GUF18" s="232"/>
      <c r="GUG18" s="233"/>
      <c r="GUH18" s="233"/>
      <c r="GUI18" s="233"/>
      <c r="GUJ18" s="233"/>
      <c r="GUK18" s="233"/>
      <c r="GUL18" s="233"/>
      <c r="GUM18" s="231"/>
      <c r="GUN18" s="231"/>
      <c r="GUO18" s="229"/>
      <c r="GUP18" s="230"/>
      <c r="GUQ18" s="231"/>
      <c r="GUR18" s="232"/>
      <c r="GUS18" s="233"/>
      <c r="GUT18" s="233"/>
      <c r="GUU18" s="233"/>
      <c r="GUV18" s="233"/>
      <c r="GUW18" s="233"/>
      <c r="GUX18" s="233"/>
      <c r="GUY18" s="231"/>
      <c r="GUZ18" s="231"/>
      <c r="GVA18" s="229"/>
      <c r="GVB18" s="230"/>
      <c r="GVC18" s="231"/>
      <c r="GVD18" s="232"/>
      <c r="GVE18" s="233"/>
      <c r="GVF18" s="233"/>
      <c r="GVG18" s="233"/>
      <c r="GVH18" s="233"/>
      <c r="GVI18" s="233"/>
      <c r="GVJ18" s="233"/>
      <c r="GVK18" s="231"/>
      <c r="GVL18" s="231"/>
      <c r="GVM18" s="229"/>
      <c r="GVN18" s="230"/>
      <c r="GVO18" s="231"/>
      <c r="GVP18" s="232"/>
      <c r="GVQ18" s="233"/>
      <c r="GVR18" s="233"/>
      <c r="GVS18" s="233"/>
      <c r="GVT18" s="233"/>
      <c r="GVU18" s="233"/>
      <c r="GVV18" s="233"/>
      <c r="GVW18" s="231"/>
      <c r="GVX18" s="231"/>
      <c r="GVY18" s="229"/>
      <c r="GVZ18" s="230"/>
      <c r="GWA18" s="231"/>
      <c r="GWB18" s="232"/>
      <c r="GWC18" s="233"/>
      <c r="GWD18" s="233"/>
      <c r="GWE18" s="233"/>
      <c r="GWF18" s="233"/>
      <c r="GWG18" s="233"/>
      <c r="GWH18" s="233"/>
      <c r="GWI18" s="231"/>
      <c r="GWJ18" s="231"/>
      <c r="GWK18" s="229"/>
      <c r="GWL18" s="230"/>
      <c r="GWM18" s="231"/>
      <c r="GWN18" s="232"/>
      <c r="GWO18" s="233"/>
      <c r="GWP18" s="233"/>
      <c r="GWQ18" s="233"/>
      <c r="GWR18" s="233"/>
      <c r="GWS18" s="233"/>
      <c r="GWT18" s="233"/>
      <c r="GWU18" s="231"/>
      <c r="GWV18" s="231"/>
      <c r="GWW18" s="229"/>
      <c r="GWX18" s="230"/>
      <c r="GWY18" s="231"/>
      <c r="GWZ18" s="232"/>
      <c r="GXA18" s="233"/>
      <c r="GXB18" s="233"/>
      <c r="GXC18" s="233"/>
      <c r="GXD18" s="233"/>
      <c r="GXE18" s="233"/>
      <c r="GXF18" s="233"/>
      <c r="GXG18" s="231"/>
      <c r="GXH18" s="231"/>
      <c r="GXI18" s="229"/>
      <c r="GXJ18" s="230"/>
      <c r="GXK18" s="231"/>
      <c r="GXL18" s="232"/>
      <c r="GXM18" s="233"/>
      <c r="GXN18" s="233"/>
      <c r="GXO18" s="233"/>
      <c r="GXP18" s="233"/>
      <c r="GXQ18" s="233"/>
      <c r="GXR18" s="233"/>
      <c r="GXS18" s="231"/>
      <c r="GXT18" s="231"/>
      <c r="GXU18" s="229"/>
      <c r="GXV18" s="230"/>
      <c r="GXW18" s="231"/>
      <c r="GXX18" s="232"/>
      <c r="GXY18" s="233"/>
      <c r="GXZ18" s="233"/>
      <c r="GYA18" s="233"/>
      <c r="GYB18" s="233"/>
      <c r="GYC18" s="233"/>
      <c r="GYD18" s="233"/>
      <c r="GYE18" s="231"/>
      <c r="GYF18" s="231"/>
      <c r="GYG18" s="229"/>
      <c r="GYH18" s="230"/>
      <c r="GYI18" s="231"/>
      <c r="GYJ18" s="232"/>
      <c r="GYK18" s="233"/>
      <c r="GYL18" s="233"/>
      <c r="GYM18" s="233"/>
      <c r="GYN18" s="233"/>
      <c r="GYO18" s="233"/>
      <c r="GYP18" s="233"/>
      <c r="GYQ18" s="231"/>
      <c r="GYR18" s="231"/>
      <c r="GYS18" s="229"/>
      <c r="GYT18" s="230"/>
      <c r="GYU18" s="231"/>
      <c r="GYV18" s="232"/>
      <c r="GYW18" s="233"/>
      <c r="GYX18" s="233"/>
      <c r="GYY18" s="233"/>
      <c r="GYZ18" s="233"/>
      <c r="GZA18" s="233"/>
      <c r="GZB18" s="233"/>
      <c r="GZC18" s="231"/>
      <c r="GZD18" s="231"/>
      <c r="GZE18" s="229"/>
      <c r="GZF18" s="230"/>
      <c r="GZG18" s="231"/>
      <c r="GZH18" s="232"/>
      <c r="GZI18" s="233"/>
      <c r="GZJ18" s="233"/>
      <c r="GZK18" s="233"/>
      <c r="GZL18" s="233"/>
      <c r="GZM18" s="233"/>
      <c r="GZN18" s="233"/>
      <c r="GZO18" s="231"/>
      <c r="GZP18" s="231"/>
      <c r="GZQ18" s="229"/>
      <c r="GZR18" s="230"/>
      <c r="GZS18" s="231"/>
      <c r="GZT18" s="232"/>
      <c r="GZU18" s="233"/>
      <c r="GZV18" s="233"/>
      <c r="GZW18" s="233"/>
      <c r="GZX18" s="233"/>
      <c r="GZY18" s="233"/>
      <c r="GZZ18" s="233"/>
      <c r="HAA18" s="231"/>
      <c r="HAB18" s="231"/>
      <c r="HAC18" s="229"/>
      <c r="HAD18" s="230"/>
      <c r="HAE18" s="231"/>
      <c r="HAF18" s="232"/>
      <c r="HAG18" s="233"/>
      <c r="HAH18" s="233"/>
      <c r="HAI18" s="233"/>
      <c r="HAJ18" s="233"/>
      <c r="HAK18" s="233"/>
      <c r="HAL18" s="233"/>
      <c r="HAM18" s="231"/>
      <c r="HAN18" s="231"/>
      <c r="HAO18" s="229"/>
      <c r="HAP18" s="230"/>
      <c r="HAQ18" s="231"/>
      <c r="HAR18" s="232"/>
      <c r="HAS18" s="233"/>
      <c r="HAT18" s="233"/>
      <c r="HAU18" s="233"/>
      <c r="HAV18" s="233"/>
      <c r="HAW18" s="233"/>
      <c r="HAX18" s="233"/>
      <c r="HAY18" s="231"/>
      <c r="HAZ18" s="231"/>
      <c r="HBA18" s="229"/>
      <c r="HBB18" s="230"/>
      <c r="HBC18" s="231"/>
      <c r="HBD18" s="232"/>
      <c r="HBE18" s="233"/>
      <c r="HBF18" s="233"/>
      <c r="HBG18" s="233"/>
      <c r="HBH18" s="233"/>
      <c r="HBI18" s="233"/>
      <c r="HBJ18" s="233"/>
      <c r="HBK18" s="231"/>
      <c r="HBL18" s="231"/>
      <c r="HBM18" s="229"/>
      <c r="HBN18" s="230"/>
      <c r="HBO18" s="231"/>
      <c r="HBP18" s="232"/>
      <c r="HBQ18" s="233"/>
      <c r="HBR18" s="233"/>
      <c r="HBS18" s="233"/>
      <c r="HBT18" s="233"/>
      <c r="HBU18" s="233"/>
      <c r="HBV18" s="233"/>
      <c r="HBW18" s="231"/>
      <c r="HBX18" s="231"/>
      <c r="HBY18" s="229"/>
      <c r="HBZ18" s="230"/>
      <c r="HCA18" s="231"/>
      <c r="HCB18" s="232"/>
      <c r="HCC18" s="233"/>
      <c r="HCD18" s="233"/>
      <c r="HCE18" s="233"/>
      <c r="HCF18" s="233"/>
      <c r="HCG18" s="233"/>
      <c r="HCH18" s="233"/>
      <c r="HCI18" s="231"/>
      <c r="HCJ18" s="231"/>
      <c r="HCK18" s="229"/>
      <c r="HCL18" s="230"/>
      <c r="HCM18" s="231"/>
      <c r="HCN18" s="232"/>
      <c r="HCO18" s="233"/>
      <c r="HCP18" s="233"/>
      <c r="HCQ18" s="233"/>
      <c r="HCR18" s="233"/>
      <c r="HCS18" s="233"/>
      <c r="HCT18" s="233"/>
      <c r="HCU18" s="231"/>
      <c r="HCV18" s="231"/>
      <c r="HCW18" s="229"/>
      <c r="HCX18" s="230"/>
      <c r="HCY18" s="231"/>
      <c r="HCZ18" s="232"/>
      <c r="HDA18" s="233"/>
      <c r="HDB18" s="233"/>
      <c r="HDC18" s="233"/>
      <c r="HDD18" s="233"/>
      <c r="HDE18" s="233"/>
      <c r="HDF18" s="233"/>
      <c r="HDG18" s="231"/>
      <c r="HDH18" s="231"/>
      <c r="HDI18" s="229"/>
      <c r="HDJ18" s="230"/>
      <c r="HDK18" s="231"/>
      <c r="HDL18" s="232"/>
      <c r="HDM18" s="233"/>
      <c r="HDN18" s="233"/>
      <c r="HDO18" s="233"/>
      <c r="HDP18" s="233"/>
      <c r="HDQ18" s="233"/>
      <c r="HDR18" s="233"/>
      <c r="HDS18" s="231"/>
      <c r="HDT18" s="231"/>
      <c r="HDU18" s="229"/>
      <c r="HDV18" s="230"/>
      <c r="HDW18" s="231"/>
      <c r="HDX18" s="232"/>
      <c r="HDY18" s="233"/>
      <c r="HDZ18" s="233"/>
      <c r="HEA18" s="233"/>
      <c r="HEB18" s="233"/>
      <c r="HEC18" s="233"/>
      <c r="HED18" s="233"/>
      <c r="HEE18" s="231"/>
      <c r="HEF18" s="231"/>
      <c r="HEG18" s="229"/>
      <c r="HEH18" s="230"/>
      <c r="HEI18" s="231"/>
      <c r="HEJ18" s="232"/>
      <c r="HEK18" s="233"/>
      <c r="HEL18" s="233"/>
      <c r="HEM18" s="233"/>
      <c r="HEN18" s="233"/>
      <c r="HEO18" s="233"/>
      <c r="HEP18" s="233"/>
      <c r="HEQ18" s="231"/>
      <c r="HER18" s="231"/>
      <c r="HES18" s="229"/>
      <c r="HET18" s="230"/>
      <c r="HEU18" s="231"/>
      <c r="HEV18" s="232"/>
      <c r="HEW18" s="233"/>
      <c r="HEX18" s="233"/>
      <c r="HEY18" s="233"/>
      <c r="HEZ18" s="233"/>
      <c r="HFA18" s="233"/>
      <c r="HFB18" s="233"/>
      <c r="HFC18" s="231"/>
      <c r="HFD18" s="231"/>
      <c r="HFE18" s="229"/>
      <c r="HFF18" s="230"/>
      <c r="HFG18" s="231"/>
      <c r="HFH18" s="232"/>
      <c r="HFI18" s="233"/>
      <c r="HFJ18" s="233"/>
      <c r="HFK18" s="233"/>
      <c r="HFL18" s="233"/>
      <c r="HFM18" s="233"/>
      <c r="HFN18" s="233"/>
      <c r="HFO18" s="231"/>
      <c r="HFP18" s="231"/>
      <c r="HFQ18" s="229"/>
      <c r="HFR18" s="230"/>
      <c r="HFS18" s="231"/>
      <c r="HFT18" s="232"/>
      <c r="HFU18" s="233"/>
      <c r="HFV18" s="233"/>
      <c r="HFW18" s="233"/>
      <c r="HFX18" s="233"/>
      <c r="HFY18" s="233"/>
      <c r="HFZ18" s="233"/>
      <c r="HGA18" s="231"/>
      <c r="HGB18" s="231"/>
      <c r="HGC18" s="229"/>
      <c r="HGD18" s="230"/>
      <c r="HGE18" s="231"/>
      <c r="HGF18" s="232"/>
      <c r="HGG18" s="233"/>
      <c r="HGH18" s="233"/>
      <c r="HGI18" s="233"/>
      <c r="HGJ18" s="233"/>
      <c r="HGK18" s="233"/>
      <c r="HGL18" s="233"/>
      <c r="HGM18" s="231"/>
      <c r="HGN18" s="231"/>
      <c r="HGO18" s="229"/>
      <c r="HGP18" s="230"/>
      <c r="HGQ18" s="231"/>
      <c r="HGR18" s="232"/>
      <c r="HGS18" s="233"/>
      <c r="HGT18" s="233"/>
      <c r="HGU18" s="233"/>
      <c r="HGV18" s="233"/>
      <c r="HGW18" s="233"/>
      <c r="HGX18" s="233"/>
      <c r="HGY18" s="231"/>
      <c r="HGZ18" s="231"/>
      <c r="HHA18" s="229"/>
      <c r="HHB18" s="230"/>
      <c r="HHC18" s="231"/>
      <c r="HHD18" s="232"/>
      <c r="HHE18" s="233"/>
      <c r="HHF18" s="233"/>
      <c r="HHG18" s="233"/>
      <c r="HHH18" s="233"/>
      <c r="HHI18" s="233"/>
      <c r="HHJ18" s="233"/>
      <c r="HHK18" s="231"/>
      <c r="HHL18" s="231"/>
      <c r="HHM18" s="229"/>
      <c r="HHN18" s="230"/>
      <c r="HHO18" s="231"/>
      <c r="HHP18" s="232"/>
      <c r="HHQ18" s="233"/>
      <c r="HHR18" s="233"/>
      <c r="HHS18" s="233"/>
      <c r="HHT18" s="233"/>
      <c r="HHU18" s="233"/>
      <c r="HHV18" s="233"/>
      <c r="HHW18" s="231"/>
      <c r="HHX18" s="231"/>
      <c r="HHY18" s="229"/>
      <c r="HHZ18" s="230"/>
      <c r="HIA18" s="231"/>
      <c r="HIB18" s="232"/>
      <c r="HIC18" s="233"/>
      <c r="HID18" s="233"/>
      <c r="HIE18" s="233"/>
      <c r="HIF18" s="233"/>
      <c r="HIG18" s="233"/>
      <c r="HIH18" s="233"/>
      <c r="HII18" s="231"/>
      <c r="HIJ18" s="231"/>
      <c r="HIK18" s="229"/>
      <c r="HIL18" s="230"/>
      <c r="HIM18" s="231"/>
      <c r="HIN18" s="232"/>
      <c r="HIO18" s="233"/>
      <c r="HIP18" s="233"/>
      <c r="HIQ18" s="233"/>
      <c r="HIR18" s="233"/>
      <c r="HIS18" s="233"/>
      <c r="HIT18" s="233"/>
      <c r="HIU18" s="231"/>
      <c r="HIV18" s="231"/>
      <c r="HIW18" s="229"/>
      <c r="HIX18" s="230"/>
      <c r="HIY18" s="231"/>
      <c r="HIZ18" s="232"/>
      <c r="HJA18" s="233"/>
      <c r="HJB18" s="233"/>
      <c r="HJC18" s="233"/>
      <c r="HJD18" s="233"/>
      <c r="HJE18" s="233"/>
      <c r="HJF18" s="233"/>
      <c r="HJG18" s="231"/>
      <c r="HJH18" s="231"/>
      <c r="HJI18" s="229"/>
      <c r="HJJ18" s="230"/>
      <c r="HJK18" s="231"/>
      <c r="HJL18" s="232"/>
      <c r="HJM18" s="233"/>
      <c r="HJN18" s="233"/>
      <c r="HJO18" s="233"/>
      <c r="HJP18" s="233"/>
      <c r="HJQ18" s="233"/>
      <c r="HJR18" s="233"/>
      <c r="HJS18" s="231"/>
      <c r="HJT18" s="231"/>
      <c r="HJU18" s="229"/>
      <c r="HJV18" s="230"/>
      <c r="HJW18" s="231"/>
      <c r="HJX18" s="232"/>
      <c r="HJY18" s="233"/>
      <c r="HJZ18" s="233"/>
      <c r="HKA18" s="233"/>
      <c r="HKB18" s="233"/>
      <c r="HKC18" s="233"/>
      <c r="HKD18" s="233"/>
      <c r="HKE18" s="231"/>
      <c r="HKF18" s="231"/>
      <c r="HKG18" s="229"/>
      <c r="HKH18" s="230"/>
      <c r="HKI18" s="231"/>
      <c r="HKJ18" s="232"/>
      <c r="HKK18" s="233"/>
      <c r="HKL18" s="233"/>
      <c r="HKM18" s="233"/>
      <c r="HKN18" s="233"/>
      <c r="HKO18" s="233"/>
      <c r="HKP18" s="233"/>
      <c r="HKQ18" s="231"/>
      <c r="HKR18" s="231"/>
      <c r="HKS18" s="229"/>
      <c r="HKT18" s="230"/>
      <c r="HKU18" s="231"/>
      <c r="HKV18" s="232"/>
      <c r="HKW18" s="233"/>
      <c r="HKX18" s="233"/>
      <c r="HKY18" s="233"/>
      <c r="HKZ18" s="233"/>
      <c r="HLA18" s="233"/>
      <c r="HLB18" s="233"/>
      <c r="HLC18" s="231"/>
      <c r="HLD18" s="231"/>
      <c r="HLE18" s="229"/>
      <c r="HLF18" s="230"/>
      <c r="HLG18" s="231"/>
      <c r="HLH18" s="232"/>
      <c r="HLI18" s="233"/>
      <c r="HLJ18" s="233"/>
      <c r="HLK18" s="233"/>
      <c r="HLL18" s="233"/>
      <c r="HLM18" s="233"/>
      <c r="HLN18" s="233"/>
      <c r="HLO18" s="231"/>
      <c r="HLP18" s="231"/>
      <c r="HLQ18" s="229"/>
      <c r="HLR18" s="230"/>
      <c r="HLS18" s="231"/>
      <c r="HLT18" s="232"/>
      <c r="HLU18" s="233"/>
      <c r="HLV18" s="233"/>
      <c r="HLW18" s="233"/>
      <c r="HLX18" s="233"/>
      <c r="HLY18" s="233"/>
      <c r="HLZ18" s="233"/>
      <c r="HMA18" s="231"/>
      <c r="HMB18" s="231"/>
      <c r="HMC18" s="229"/>
      <c r="HMD18" s="230"/>
      <c r="HME18" s="231"/>
      <c r="HMF18" s="232"/>
      <c r="HMG18" s="233"/>
      <c r="HMH18" s="233"/>
      <c r="HMI18" s="233"/>
      <c r="HMJ18" s="233"/>
      <c r="HMK18" s="233"/>
      <c r="HML18" s="233"/>
      <c r="HMM18" s="231"/>
      <c r="HMN18" s="231"/>
      <c r="HMO18" s="229"/>
      <c r="HMP18" s="230"/>
      <c r="HMQ18" s="231"/>
      <c r="HMR18" s="232"/>
      <c r="HMS18" s="233"/>
      <c r="HMT18" s="233"/>
      <c r="HMU18" s="233"/>
      <c r="HMV18" s="233"/>
      <c r="HMW18" s="233"/>
      <c r="HMX18" s="233"/>
      <c r="HMY18" s="231"/>
      <c r="HMZ18" s="231"/>
      <c r="HNA18" s="229"/>
      <c r="HNB18" s="230"/>
      <c r="HNC18" s="231"/>
      <c r="HND18" s="232"/>
      <c r="HNE18" s="233"/>
      <c r="HNF18" s="233"/>
      <c r="HNG18" s="233"/>
      <c r="HNH18" s="233"/>
      <c r="HNI18" s="233"/>
      <c r="HNJ18" s="233"/>
      <c r="HNK18" s="231"/>
      <c r="HNL18" s="231"/>
      <c r="HNM18" s="229"/>
      <c r="HNN18" s="230"/>
      <c r="HNO18" s="231"/>
      <c r="HNP18" s="232"/>
      <c r="HNQ18" s="233"/>
      <c r="HNR18" s="233"/>
      <c r="HNS18" s="233"/>
      <c r="HNT18" s="233"/>
      <c r="HNU18" s="233"/>
      <c r="HNV18" s="233"/>
      <c r="HNW18" s="231"/>
      <c r="HNX18" s="231"/>
      <c r="HNY18" s="229"/>
      <c r="HNZ18" s="230"/>
      <c r="HOA18" s="231"/>
      <c r="HOB18" s="232"/>
      <c r="HOC18" s="233"/>
      <c r="HOD18" s="233"/>
      <c r="HOE18" s="233"/>
      <c r="HOF18" s="233"/>
      <c r="HOG18" s="233"/>
      <c r="HOH18" s="233"/>
      <c r="HOI18" s="231"/>
      <c r="HOJ18" s="231"/>
      <c r="HOK18" s="229"/>
      <c r="HOL18" s="230"/>
      <c r="HOM18" s="231"/>
      <c r="HON18" s="232"/>
      <c r="HOO18" s="233"/>
      <c r="HOP18" s="233"/>
      <c r="HOQ18" s="233"/>
      <c r="HOR18" s="233"/>
      <c r="HOS18" s="233"/>
      <c r="HOT18" s="233"/>
      <c r="HOU18" s="231"/>
      <c r="HOV18" s="231"/>
      <c r="HOW18" s="229"/>
      <c r="HOX18" s="230"/>
      <c r="HOY18" s="231"/>
      <c r="HOZ18" s="232"/>
      <c r="HPA18" s="233"/>
      <c r="HPB18" s="233"/>
      <c r="HPC18" s="233"/>
      <c r="HPD18" s="233"/>
      <c r="HPE18" s="233"/>
      <c r="HPF18" s="233"/>
      <c r="HPG18" s="231"/>
      <c r="HPH18" s="231"/>
      <c r="HPI18" s="229"/>
      <c r="HPJ18" s="230"/>
      <c r="HPK18" s="231"/>
      <c r="HPL18" s="232"/>
      <c r="HPM18" s="233"/>
      <c r="HPN18" s="233"/>
      <c r="HPO18" s="233"/>
      <c r="HPP18" s="233"/>
      <c r="HPQ18" s="233"/>
      <c r="HPR18" s="233"/>
      <c r="HPS18" s="231"/>
      <c r="HPT18" s="231"/>
      <c r="HPU18" s="229"/>
      <c r="HPV18" s="230"/>
      <c r="HPW18" s="231"/>
      <c r="HPX18" s="232"/>
      <c r="HPY18" s="233"/>
      <c r="HPZ18" s="233"/>
      <c r="HQA18" s="233"/>
      <c r="HQB18" s="233"/>
      <c r="HQC18" s="233"/>
      <c r="HQD18" s="233"/>
      <c r="HQE18" s="231"/>
      <c r="HQF18" s="231"/>
      <c r="HQG18" s="229"/>
      <c r="HQH18" s="230"/>
      <c r="HQI18" s="231"/>
      <c r="HQJ18" s="232"/>
      <c r="HQK18" s="233"/>
      <c r="HQL18" s="233"/>
      <c r="HQM18" s="233"/>
      <c r="HQN18" s="233"/>
      <c r="HQO18" s="233"/>
      <c r="HQP18" s="233"/>
      <c r="HQQ18" s="231"/>
      <c r="HQR18" s="231"/>
      <c r="HQS18" s="229"/>
      <c r="HQT18" s="230"/>
      <c r="HQU18" s="231"/>
      <c r="HQV18" s="232"/>
      <c r="HQW18" s="233"/>
      <c r="HQX18" s="233"/>
      <c r="HQY18" s="233"/>
      <c r="HQZ18" s="233"/>
      <c r="HRA18" s="233"/>
      <c r="HRB18" s="233"/>
      <c r="HRC18" s="231"/>
      <c r="HRD18" s="231"/>
      <c r="HRE18" s="229"/>
      <c r="HRF18" s="230"/>
      <c r="HRG18" s="231"/>
      <c r="HRH18" s="232"/>
      <c r="HRI18" s="233"/>
      <c r="HRJ18" s="233"/>
      <c r="HRK18" s="233"/>
      <c r="HRL18" s="233"/>
      <c r="HRM18" s="233"/>
      <c r="HRN18" s="233"/>
      <c r="HRO18" s="231"/>
      <c r="HRP18" s="231"/>
      <c r="HRQ18" s="229"/>
      <c r="HRR18" s="230"/>
      <c r="HRS18" s="231"/>
      <c r="HRT18" s="232"/>
      <c r="HRU18" s="233"/>
      <c r="HRV18" s="233"/>
      <c r="HRW18" s="233"/>
      <c r="HRX18" s="233"/>
      <c r="HRY18" s="233"/>
      <c r="HRZ18" s="233"/>
      <c r="HSA18" s="231"/>
      <c r="HSB18" s="231"/>
      <c r="HSC18" s="229"/>
      <c r="HSD18" s="230"/>
      <c r="HSE18" s="231"/>
      <c r="HSF18" s="232"/>
      <c r="HSG18" s="233"/>
      <c r="HSH18" s="233"/>
      <c r="HSI18" s="233"/>
      <c r="HSJ18" s="233"/>
      <c r="HSK18" s="233"/>
      <c r="HSL18" s="233"/>
      <c r="HSM18" s="231"/>
      <c r="HSN18" s="231"/>
      <c r="HSO18" s="229"/>
      <c r="HSP18" s="230"/>
      <c r="HSQ18" s="231"/>
      <c r="HSR18" s="232"/>
      <c r="HSS18" s="233"/>
      <c r="HST18" s="233"/>
      <c r="HSU18" s="233"/>
      <c r="HSV18" s="233"/>
      <c r="HSW18" s="233"/>
      <c r="HSX18" s="233"/>
      <c r="HSY18" s="231"/>
      <c r="HSZ18" s="231"/>
      <c r="HTA18" s="229"/>
      <c r="HTB18" s="230"/>
      <c r="HTC18" s="231"/>
      <c r="HTD18" s="232"/>
      <c r="HTE18" s="233"/>
      <c r="HTF18" s="233"/>
      <c r="HTG18" s="233"/>
      <c r="HTH18" s="233"/>
      <c r="HTI18" s="233"/>
      <c r="HTJ18" s="233"/>
      <c r="HTK18" s="231"/>
      <c r="HTL18" s="231"/>
      <c r="HTM18" s="229"/>
      <c r="HTN18" s="230"/>
      <c r="HTO18" s="231"/>
      <c r="HTP18" s="232"/>
      <c r="HTQ18" s="233"/>
      <c r="HTR18" s="233"/>
      <c r="HTS18" s="233"/>
      <c r="HTT18" s="233"/>
      <c r="HTU18" s="233"/>
      <c r="HTV18" s="233"/>
      <c r="HTW18" s="231"/>
      <c r="HTX18" s="231"/>
      <c r="HTY18" s="229"/>
      <c r="HTZ18" s="230"/>
      <c r="HUA18" s="231"/>
      <c r="HUB18" s="232"/>
      <c r="HUC18" s="233"/>
      <c r="HUD18" s="233"/>
      <c r="HUE18" s="233"/>
      <c r="HUF18" s="233"/>
      <c r="HUG18" s="233"/>
      <c r="HUH18" s="233"/>
      <c r="HUI18" s="231"/>
      <c r="HUJ18" s="231"/>
      <c r="HUK18" s="229"/>
      <c r="HUL18" s="230"/>
      <c r="HUM18" s="231"/>
      <c r="HUN18" s="232"/>
      <c r="HUO18" s="233"/>
      <c r="HUP18" s="233"/>
      <c r="HUQ18" s="233"/>
      <c r="HUR18" s="233"/>
      <c r="HUS18" s="233"/>
      <c r="HUT18" s="233"/>
      <c r="HUU18" s="231"/>
      <c r="HUV18" s="231"/>
      <c r="HUW18" s="229"/>
      <c r="HUX18" s="230"/>
      <c r="HUY18" s="231"/>
      <c r="HUZ18" s="232"/>
      <c r="HVA18" s="233"/>
      <c r="HVB18" s="233"/>
      <c r="HVC18" s="233"/>
      <c r="HVD18" s="233"/>
      <c r="HVE18" s="233"/>
      <c r="HVF18" s="233"/>
      <c r="HVG18" s="231"/>
      <c r="HVH18" s="231"/>
      <c r="HVI18" s="229"/>
      <c r="HVJ18" s="230"/>
      <c r="HVK18" s="231"/>
      <c r="HVL18" s="232"/>
      <c r="HVM18" s="233"/>
      <c r="HVN18" s="233"/>
      <c r="HVO18" s="233"/>
      <c r="HVP18" s="233"/>
      <c r="HVQ18" s="233"/>
      <c r="HVR18" s="233"/>
      <c r="HVS18" s="231"/>
      <c r="HVT18" s="231"/>
      <c r="HVU18" s="229"/>
      <c r="HVV18" s="230"/>
      <c r="HVW18" s="231"/>
      <c r="HVX18" s="232"/>
      <c r="HVY18" s="233"/>
      <c r="HVZ18" s="233"/>
      <c r="HWA18" s="233"/>
      <c r="HWB18" s="233"/>
      <c r="HWC18" s="233"/>
      <c r="HWD18" s="233"/>
      <c r="HWE18" s="231"/>
      <c r="HWF18" s="231"/>
      <c r="HWG18" s="229"/>
      <c r="HWH18" s="230"/>
      <c r="HWI18" s="231"/>
      <c r="HWJ18" s="232"/>
      <c r="HWK18" s="233"/>
      <c r="HWL18" s="233"/>
      <c r="HWM18" s="233"/>
      <c r="HWN18" s="233"/>
      <c r="HWO18" s="233"/>
      <c r="HWP18" s="233"/>
      <c r="HWQ18" s="231"/>
      <c r="HWR18" s="231"/>
      <c r="HWS18" s="229"/>
      <c r="HWT18" s="230"/>
      <c r="HWU18" s="231"/>
      <c r="HWV18" s="232"/>
      <c r="HWW18" s="233"/>
      <c r="HWX18" s="233"/>
      <c r="HWY18" s="233"/>
      <c r="HWZ18" s="233"/>
      <c r="HXA18" s="233"/>
      <c r="HXB18" s="233"/>
      <c r="HXC18" s="231"/>
      <c r="HXD18" s="231"/>
      <c r="HXE18" s="229"/>
      <c r="HXF18" s="230"/>
      <c r="HXG18" s="231"/>
      <c r="HXH18" s="232"/>
      <c r="HXI18" s="233"/>
      <c r="HXJ18" s="233"/>
      <c r="HXK18" s="233"/>
      <c r="HXL18" s="233"/>
      <c r="HXM18" s="233"/>
      <c r="HXN18" s="233"/>
      <c r="HXO18" s="231"/>
      <c r="HXP18" s="231"/>
      <c r="HXQ18" s="229"/>
      <c r="HXR18" s="230"/>
      <c r="HXS18" s="231"/>
      <c r="HXT18" s="232"/>
      <c r="HXU18" s="233"/>
      <c r="HXV18" s="233"/>
      <c r="HXW18" s="233"/>
      <c r="HXX18" s="233"/>
      <c r="HXY18" s="233"/>
      <c r="HXZ18" s="233"/>
      <c r="HYA18" s="231"/>
      <c r="HYB18" s="231"/>
      <c r="HYC18" s="229"/>
      <c r="HYD18" s="230"/>
      <c r="HYE18" s="231"/>
      <c r="HYF18" s="232"/>
      <c r="HYG18" s="233"/>
      <c r="HYH18" s="233"/>
      <c r="HYI18" s="233"/>
      <c r="HYJ18" s="233"/>
      <c r="HYK18" s="233"/>
      <c r="HYL18" s="233"/>
      <c r="HYM18" s="231"/>
      <c r="HYN18" s="231"/>
      <c r="HYO18" s="229"/>
      <c r="HYP18" s="230"/>
      <c r="HYQ18" s="231"/>
      <c r="HYR18" s="232"/>
      <c r="HYS18" s="233"/>
      <c r="HYT18" s="233"/>
      <c r="HYU18" s="233"/>
      <c r="HYV18" s="233"/>
      <c r="HYW18" s="233"/>
      <c r="HYX18" s="233"/>
      <c r="HYY18" s="231"/>
      <c r="HYZ18" s="231"/>
      <c r="HZA18" s="229"/>
      <c r="HZB18" s="230"/>
      <c r="HZC18" s="231"/>
      <c r="HZD18" s="232"/>
      <c r="HZE18" s="233"/>
      <c r="HZF18" s="233"/>
      <c r="HZG18" s="233"/>
      <c r="HZH18" s="233"/>
      <c r="HZI18" s="233"/>
      <c r="HZJ18" s="233"/>
      <c r="HZK18" s="231"/>
      <c r="HZL18" s="231"/>
      <c r="HZM18" s="229"/>
      <c r="HZN18" s="230"/>
      <c r="HZO18" s="231"/>
      <c r="HZP18" s="232"/>
      <c r="HZQ18" s="233"/>
      <c r="HZR18" s="233"/>
      <c r="HZS18" s="233"/>
      <c r="HZT18" s="233"/>
      <c r="HZU18" s="233"/>
      <c r="HZV18" s="233"/>
      <c r="HZW18" s="231"/>
      <c r="HZX18" s="231"/>
      <c r="HZY18" s="229"/>
      <c r="HZZ18" s="230"/>
      <c r="IAA18" s="231"/>
      <c r="IAB18" s="232"/>
      <c r="IAC18" s="233"/>
      <c r="IAD18" s="233"/>
      <c r="IAE18" s="233"/>
      <c r="IAF18" s="233"/>
      <c r="IAG18" s="233"/>
      <c r="IAH18" s="233"/>
      <c r="IAI18" s="231"/>
      <c r="IAJ18" s="231"/>
      <c r="IAK18" s="229"/>
      <c r="IAL18" s="230"/>
      <c r="IAM18" s="231"/>
      <c r="IAN18" s="232"/>
      <c r="IAO18" s="233"/>
      <c r="IAP18" s="233"/>
      <c r="IAQ18" s="233"/>
      <c r="IAR18" s="233"/>
      <c r="IAS18" s="233"/>
      <c r="IAT18" s="233"/>
      <c r="IAU18" s="231"/>
      <c r="IAV18" s="231"/>
      <c r="IAW18" s="229"/>
      <c r="IAX18" s="230"/>
      <c r="IAY18" s="231"/>
      <c r="IAZ18" s="232"/>
      <c r="IBA18" s="233"/>
      <c r="IBB18" s="233"/>
      <c r="IBC18" s="233"/>
      <c r="IBD18" s="233"/>
      <c r="IBE18" s="233"/>
      <c r="IBF18" s="233"/>
      <c r="IBG18" s="231"/>
      <c r="IBH18" s="231"/>
      <c r="IBI18" s="229"/>
      <c r="IBJ18" s="230"/>
      <c r="IBK18" s="231"/>
      <c r="IBL18" s="232"/>
      <c r="IBM18" s="233"/>
      <c r="IBN18" s="233"/>
      <c r="IBO18" s="233"/>
      <c r="IBP18" s="233"/>
      <c r="IBQ18" s="233"/>
      <c r="IBR18" s="233"/>
      <c r="IBS18" s="231"/>
      <c r="IBT18" s="231"/>
      <c r="IBU18" s="229"/>
      <c r="IBV18" s="230"/>
      <c r="IBW18" s="231"/>
      <c r="IBX18" s="232"/>
      <c r="IBY18" s="233"/>
      <c r="IBZ18" s="233"/>
      <c r="ICA18" s="233"/>
      <c r="ICB18" s="233"/>
      <c r="ICC18" s="233"/>
      <c r="ICD18" s="233"/>
      <c r="ICE18" s="231"/>
      <c r="ICF18" s="231"/>
      <c r="ICG18" s="229"/>
      <c r="ICH18" s="230"/>
      <c r="ICI18" s="231"/>
      <c r="ICJ18" s="232"/>
      <c r="ICK18" s="233"/>
      <c r="ICL18" s="233"/>
      <c r="ICM18" s="233"/>
      <c r="ICN18" s="233"/>
      <c r="ICO18" s="233"/>
      <c r="ICP18" s="233"/>
      <c r="ICQ18" s="231"/>
      <c r="ICR18" s="231"/>
      <c r="ICS18" s="229"/>
      <c r="ICT18" s="230"/>
      <c r="ICU18" s="231"/>
      <c r="ICV18" s="232"/>
      <c r="ICW18" s="233"/>
      <c r="ICX18" s="233"/>
      <c r="ICY18" s="233"/>
      <c r="ICZ18" s="233"/>
      <c r="IDA18" s="233"/>
      <c r="IDB18" s="233"/>
      <c r="IDC18" s="231"/>
      <c r="IDD18" s="231"/>
      <c r="IDE18" s="229"/>
      <c r="IDF18" s="230"/>
      <c r="IDG18" s="231"/>
      <c r="IDH18" s="232"/>
      <c r="IDI18" s="233"/>
      <c r="IDJ18" s="233"/>
      <c r="IDK18" s="233"/>
      <c r="IDL18" s="233"/>
      <c r="IDM18" s="233"/>
      <c r="IDN18" s="233"/>
      <c r="IDO18" s="231"/>
      <c r="IDP18" s="231"/>
      <c r="IDQ18" s="229"/>
      <c r="IDR18" s="230"/>
      <c r="IDS18" s="231"/>
      <c r="IDT18" s="232"/>
      <c r="IDU18" s="233"/>
      <c r="IDV18" s="233"/>
      <c r="IDW18" s="233"/>
      <c r="IDX18" s="233"/>
      <c r="IDY18" s="233"/>
      <c r="IDZ18" s="233"/>
      <c r="IEA18" s="231"/>
      <c r="IEB18" s="231"/>
      <c r="IEC18" s="229"/>
      <c r="IED18" s="230"/>
      <c r="IEE18" s="231"/>
      <c r="IEF18" s="232"/>
      <c r="IEG18" s="233"/>
      <c r="IEH18" s="233"/>
      <c r="IEI18" s="233"/>
      <c r="IEJ18" s="233"/>
      <c r="IEK18" s="233"/>
      <c r="IEL18" s="233"/>
      <c r="IEM18" s="231"/>
      <c r="IEN18" s="231"/>
      <c r="IEO18" s="229"/>
      <c r="IEP18" s="230"/>
      <c r="IEQ18" s="231"/>
      <c r="IER18" s="232"/>
      <c r="IES18" s="233"/>
      <c r="IET18" s="233"/>
      <c r="IEU18" s="233"/>
      <c r="IEV18" s="233"/>
      <c r="IEW18" s="233"/>
      <c r="IEX18" s="233"/>
      <c r="IEY18" s="231"/>
      <c r="IEZ18" s="231"/>
      <c r="IFA18" s="229"/>
      <c r="IFB18" s="230"/>
      <c r="IFC18" s="231"/>
      <c r="IFD18" s="232"/>
      <c r="IFE18" s="233"/>
      <c r="IFF18" s="233"/>
      <c r="IFG18" s="233"/>
      <c r="IFH18" s="233"/>
      <c r="IFI18" s="233"/>
      <c r="IFJ18" s="233"/>
      <c r="IFK18" s="231"/>
      <c r="IFL18" s="231"/>
      <c r="IFM18" s="229"/>
      <c r="IFN18" s="230"/>
      <c r="IFO18" s="231"/>
      <c r="IFP18" s="232"/>
      <c r="IFQ18" s="233"/>
      <c r="IFR18" s="233"/>
      <c r="IFS18" s="233"/>
      <c r="IFT18" s="233"/>
      <c r="IFU18" s="233"/>
      <c r="IFV18" s="233"/>
      <c r="IFW18" s="231"/>
      <c r="IFX18" s="231"/>
      <c r="IFY18" s="229"/>
      <c r="IFZ18" s="230"/>
      <c r="IGA18" s="231"/>
      <c r="IGB18" s="232"/>
      <c r="IGC18" s="233"/>
      <c r="IGD18" s="233"/>
      <c r="IGE18" s="233"/>
      <c r="IGF18" s="233"/>
      <c r="IGG18" s="233"/>
      <c r="IGH18" s="233"/>
      <c r="IGI18" s="231"/>
      <c r="IGJ18" s="231"/>
      <c r="IGK18" s="229"/>
      <c r="IGL18" s="230"/>
      <c r="IGM18" s="231"/>
      <c r="IGN18" s="232"/>
      <c r="IGO18" s="233"/>
      <c r="IGP18" s="233"/>
      <c r="IGQ18" s="233"/>
      <c r="IGR18" s="233"/>
      <c r="IGS18" s="233"/>
      <c r="IGT18" s="233"/>
      <c r="IGU18" s="231"/>
      <c r="IGV18" s="231"/>
      <c r="IGW18" s="229"/>
      <c r="IGX18" s="230"/>
      <c r="IGY18" s="231"/>
      <c r="IGZ18" s="232"/>
      <c r="IHA18" s="233"/>
      <c r="IHB18" s="233"/>
      <c r="IHC18" s="233"/>
      <c r="IHD18" s="233"/>
      <c r="IHE18" s="233"/>
      <c r="IHF18" s="233"/>
      <c r="IHG18" s="231"/>
      <c r="IHH18" s="231"/>
      <c r="IHI18" s="229"/>
      <c r="IHJ18" s="230"/>
      <c r="IHK18" s="231"/>
      <c r="IHL18" s="232"/>
      <c r="IHM18" s="233"/>
      <c r="IHN18" s="233"/>
      <c r="IHO18" s="233"/>
      <c r="IHP18" s="233"/>
      <c r="IHQ18" s="233"/>
      <c r="IHR18" s="233"/>
      <c r="IHS18" s="231"/>
      <c r="IHT18" s="231"/>
      <c r="IHU18" s="229"/>
      <c r="IHV18" s="230"/>
      <c r="IHW18" s="231"/>
      <c r="IHX18" s="232"/>
      <c r="IHY18" s="233"/>
      <c r="IHZ18" s="233"/>
      <c r="IIA18" s="233"/>
      <c r="IIB18" s="233"/>
      <c r="IIC18" s="233"/>
      <c r="IID18" s="233"/>
      <c r="IIE18" s="231"/>
      <c r="IIF18" s="231"/>
      <c r="IIG18" s="229"/>
      <c r="IIH18" s="230"/>
      <c r="III18" s="231"/>
      <c r="IIJ18" s="232"/>
      <c r="IIK18" s="233"/>
      <c r="IIL18" s="233"/>
      <c r="IIM18" s="233"/>
      <c r="IIN18" s="233"/>
      <c r="IIO18" s="233"/>
      <c r="IIP18" s="233"/>
      <c r="IIQ18" s="231"/>
      <c r="IIR18" s="231"/>
      <c r="IIS18" s="229"/>
      <c r="IIT18" s="230"/>
      <c r="IIU18" s="231"/>
      <c r="IIV18" s="232"/>
      <c r="IIW18" s="233"/>
      <c r="IIX18" s="233"/>
      <c r="IIY18" s="233"/>
      <c r="IIZ18" s="233"/>
      <c r="IJA18" s="233"/>
      <c r="IJB18" s="233"/>
      <c r="IJC18" s="231"/>
      <c r="IJD18" s="231"/>
      <c r="IJE18" s="229"/>
      <c r="IJF18" s="230"/>
      <c r="IJG18" s="231"/>
      <c r="IJH18" s="232"/>
      <c r="IJI18" s="233"/>
      <c r="IJJ18" s="233"/>
      <c r="IJK18" s="233"/>
      <c r="IJL18" s="233"/>
      <c r="IJM18" s="233"/>
      <c r="IJN18" s="233"/>
      <c r="IJO18" s="231"/>
      <c r="IJP18" s="231"/>
      <c r="IJQ18" s="229"/>
      <c r="IJR18" s="230"/>
      <c r="IJS18" s="231"/>
      <c r="IJT18" s="232"/>
      <c r="IJU18" s="233"/>
      <c r="IJV18" s="233"/>
      <c r="IJW18" s="233"/>
      <c r="IJX18" s="233"/>
      <c r="IJY18" s="233"/>
      <c r="IJZ18" s="233"/>
      <c r="IKA18" s="231"/>
      <c r="IKB18" s="231"/>
      <c r="IKC18" s="229"/>
      <c r="IKD18" s="230"/>
      <c r="IKE18" s="231"/>
      <c r="IKF18" s="232"/>
      <c r="IKG18" s="233"/>
      <c r="IKH18" s="233"/>
      <c r="IKI18" s="233"/>
      <c r="IKJ18" s="233"/>
      <c r="IKK18" s="233"/>
      <c r="IKL18" s="233"/>
      <c r="IKM18" s="231"/>
      <c r="IKN18" s="231"/>
      <c r="IKO18" s="229"/>
      <c r="IKP18" s="230"/>
      <c r="IKQ18" s="231"/>
      <c r="IKR18" s="232"/>
      <c r="IKS18" s="233"/>
      <c r="IKT18" s="233"/>
      <c r="IKU18" s="233"/>
      <c r="IKV18" s="233"/>
      <c r="IKW18" s="233"/>
      <c r="IKX18" s="233"/>
      <c r="IKY18" s="231"/>
      <c r="IKZ18" s="231"/>
      <c r="ILA18" s="229"/>
      <c r="ILB18" s="230"/>
      <c r="ILC18" s="231"/>
      <c r="ILD18" s="232"/>
      <c r="ILE18" s="233"/>
      <c r="ILF18" s="233"/>
      <c r="ILG18" s="233"/>
      <c r="ILH18" s="233"/>
      <c r="ILI18" s="233"/>
      <c r="ILJ18" s="233"/>
      <c r="ILK18" s="231"/>
      <c r="ILL18" s="231"/>
      <c r="ILM18" s="229"/>
      <c r="ILN18" s="230"/>
      <c r="ILO18" s="231"/>
      <c r="ILP18" s="232"/>
      <c r="ILQ18" s="233"/>
      <c r="ILR18" s="233"/>
      <c r="ILS18" s="233"/>
      <c r="ILT18" s="233"/>
      <c r="ILU18" s="233"/>
      <c r="ILV18" s="233"/>
      <c r="ILW18" s="231"/>
      <c r="ILX18" s="231"/>
      <c r="ILY18" s="229"/>
      <c r="ILZ18" s="230"/>
      <c r="IMA18" s="231"/>
      <c r="IMB18" s="232"/>
      <c r="IMC18" s="233"/>
      <c r="IMD18" s="233"/>
      <c r="IME18" s="233"/>
      <c r="IMF18" s="233"/>
      <c r="IMG18" s="233"/>
      <c r="IMH18" s="233"/>
      <c r="IMI18" s="231"/>
      <c r="IMJ18" s="231"/>
      <c r="IMK18" s="229"/>
      <c r="IML18" s="230"/>
      <c r="IMM18" s="231"/>
      <c r="IMN18" s="232"/>
      <c r="IMO18" s="233"/>
      <c r="IMP18" s="233"/>
      <c r="IMQ18" s="233"/>
      <c r="IMR18" s="233"/>
      <c r="IMS18" s="233"/>
      <c r="IMT18" s="233"/>
      <c r="IMU18" s="231"/>
      <c r="IMV18" s="231"/>
      <c r="IMW18" s="229"/>
      <c r="IMX18" s="230"/>
      <c r="IMY18" s="231"/>
      <c r="IMZ18" s="232"/>
      <c r="INA18" s="233"/>
      <c r="INB18" s="233"/>
      <c r="INC18" s="233"/>
      <c r="IND18" s="233"/>
      <c r="INE18" s="233"/>
      <c r="INF18" s="233"/>
      <c r="ING18" s="231"/>
      <c r="INH18" s="231"/>
      <c r="INI18" s="229"/>
      <c r="INJ18" s="230"/>
      <c r="INK18" s="231"/>
      <c r="INL18" s="232"/>
      <c r="INM18" s="233"/>
      <c r="INN18" s="233"/>
      <c r="INO18" s="233"/>
      <c r="INP18" s="233"/>
      <c r="INQ18" s="233"/>
      <c r="INR18" s="233"/>
      <c r="INS18" s="231"/>
      <c r="INT18" s="231"/>
      <c r="INU18" s="229"/>
      <c r="INV18" s="230"/>
      <c r="INW18" s="231"/>
      <c r="INX18" s="232"/>
      <c r="INY18" s="233"/>
      <c r="INZ18" s="233"/>
      <c r="IOA18" s="233"/>
      <c r="IOB18" s="233"/>
      <c r="IOC18" s="233"/>
      <c r="IOD18" s="233"/>
      <c r="IOE18" s="231"/>
      <c r="IOF18" s="231"/>
      <c r="IOG18" s="229"/>
      <c r="IOH18" s="230"/>
      <c r="IOI18" s="231"/>
      <c r="IOJ18" s="232"/>
      <c r="IOK18" s="233"/>
      <c r="IOL18" s="233"/>
      <c r="IOM18" s="233"/>
      <c r="ION18" s="233"/>
      <c r="IOO18" s="233"/>
      <c r="IOP18" s="233"/>
      <c r="IOQ18" s="231"/>
      <c r="IOR18" s="231"/>
      <c r="IOS18" s="229"/>
      <c r="IOT18" s="230"/>
      <c r="IOU18" s="231"/>
      <c r="IOV18" s="232"/>
      <c r="IOW18" s="233"/>
      <c r="IOX18" s="233"/>
      <c r="IOY18" s="233"/>
      <c r="IOZ18" s="233"/>
      <c r="IPA18" s="233"/>
      <c r="IPB18" s="233"/>
      <c r="IPC18" s="231"/>
      <c r="IPD18" s="231"/>
      <c r="IPE18" s="229"/>
      <c r="IPF18" s="230"/>
      <c r="IPG18" s="231"/>
      <c r="IPH18" s="232"/>
      <c r="IPI18" s="233"/>
      <c r="IPJ18" s="233"/>
      <c r="IPK18" s="233"/>
      <c r="IPL18" s="233"/>
      <c r="IPM18" s="233"/>
      <c r="IPN18" s="233"/>
      <c r="IPO18" s="231"/>
      <c r="IPP18" s="231"/>
      <c r="IPQ18" s="229"/>
      <c r="IPR18" s="230"/>
      <c r="IPS18" s="231"/>
      <c r="IPT18" s="232"/>
      <c r="IPU18" s="233"/>
      <c r="IPV18" s="233"/>
      <c r="IPW18" s="233"/>
      <c r="IPX18" s="233"/>
      <c r="IPY18" s="233"/>
      <c r="IPZ18" s="233"/>
      <c r="IQA18" s="231"/>
      <c r="IQB18" s="231"/>
      <c r="IQC18" s="229"/>
      <c r="IQD18" s="230"/>
      <c r="IQE18" s="231"/>
      <c r="IQF18" s="232"/>
      <c r="IQG18" s="233"/>
      <c r="IQH18" s="233"/>
      <c r="IQI18" s="233"/>
      <c r="IQJ18" s="233"/>
      <c r="IQK18" s="233"/>
      <c r="IQL18" s="233"/>
      <c r="IQM18" s="231"/>
      <c r="IQN18" s="231"/>
      <c r="IQO18" s="229"/>
      <c r="IQP18" s="230"/>
      <c r="IQQ18" s="231"/>
      <c r="IQR18" s="232"/>
      <c r="IQS18" s="233"/>
      <c r="IQT18" s="233"/>
      <c r="IQU18" s="233"/>
      <c r="IQV18" s="233"/>
      <c r="IQW18" s="233"/>
      <c r="IQX18" s="233"/>
      <c r="IQY18" s="231"/>
      <c r="IQZ18" s="231"/>
      <c r="IRA18" s="229"/>
      <c r="IRB18" s="230"/>
      <c r="IRC18" s="231"/>
      <c r="IRD18" s="232"/>
      <c r="IRE18" s="233"/>
      <c r="IRF18" s="233"/>
      <c r="IRG18" s="233"/>
      <c r="IRH18" s="233"/>
      <c r="IRI18" s="233"/>
      <c r="IRJ18" s="233"/>
      <c r="IRK18" s="231"/>
      <c r="IRL18" s="231"/>
      <c r="IRM18" s="229"/>
      <c r="IRN18" s="230"/>
      <c r="IRO18" s="231"/>
      <c r="IRP18" s="232"/>
      <c r="IRQ18" s="233"/>
      <c r="IRR18" s="233"/>
      <c r="IRS18" s="233"/>
      <c r="IRT18" s="233"/>
      <c r="IRU18" s="233"/>
      <c r="IRV18" s="233"/>
      <c r="IRW18" s="231"/>
      <c r="IRX18" s="231"/>
      <c r="IRY18" s="229"/>
      <c r="IRZ18" s="230"/>
      <c r="ISA18" s="231"/>
      <c r="ISB18" s="232"/>
      <c r="ISC18" s="233"/>
      <c r="ISD18" s="233"/>
      <c r="ISE18" s="233"/>
      <c r="ISF18" s="233"/>
      <c r="ISG18" s="233"/>
      <c r="ISH18" s="233"/>
      <c r="ISI18" s="231"/>
      <c r="ISJ18" s="231"/>
      <c r="ISK18" s="229"/>
      <c r="ISL18" s="230"/>
      <c r="ISM18" s="231"/>
      <c r="ISN18" s="232"/>
      <c r="ISO18" s="233"/>
      <c r="ISP18" s="233"/>
      <c r="ISQ18" s="233"/>
      <c r="ISR18" s="233"/>
      <c r="ISS18" s="233"/>
      <c r="IST18" s="233"/>
      <c r="ISU18" s="231"/>
      <c r="ISV18" s="231"/>
      <c r="ISW18" s="229"/>
      <c r="ISX18" s="230"/>
      <c r="ISY18" s="231"/>
      <c r="ISZ18" s="232"/>
      <c r="ITA18" s="233"/>
      <c r="ITB18" s="233"/>
      <c r="ITC18" s="233"/>
      <c r="ITD18" s="233"/>
      <c r="ITE18" s="233"/>
      <c r="ITF18" s="233"/>
      <c r="ITG18" s="231"/>
      <c r="ITH18" s="231"/>
      <c r="ITI18" s="229"/>
      <c r="ITJ18" s="230"/>
      <c r="ITK18" s="231"/>
      <c r="ITL18" s="232"/>
      <c r="ITM18" s="233"/>
      <c r="ITN18" s="233"/>
      <c r="ITO18" s="233"/>
      <c r="ITP18" s="233"/>
      <c r="ITQ18" s="233"/>
      <c r="ITR18" s="233"/>
      <c r="ITS18" s="231"/>
      <c r="ITT18" s="231"/>
      <c r="ITU18" s="229"/>
      <c r="ITV18" s="230"/>
      <c r="ITW18" s="231"/>
      <c r="ITX18" s="232"/>
      <c r="ITY18" s="233"/>
      <c r="ITZ18" s="233"/>
      <c r="IUA18" s="233"/>
      <c r="IUB18" s="233"/>
      <c r="IUC18" s="233"/>
      <c r="IUD18" s="233"/>
      <c r="IUE18" s="231"/>
      <c r="IUF18" s="231"/>
      <c r="IUG18" s="229"/>
      <c r="IUH18" s="230"/>
      <c r="IUI18" s="231"/>
      <c r="IUJ18" s="232"/>
      <c r="IUK18" s="233"/>
      <c r="IUL18" s="233"/>
      <c r="IUM18" s="233"/>
      <c r="IUN18" s="233"/>
      <c r="IUO18" s="233"/>
      <c r="IUP18" s="233"/>
      <c r="IUQ18" s="231"/>
      <c r="IUR18" s="231"/>
      <c r="IUS18" s="229"/>
      <c r="IUT18" s="230"/>
      <c r="IUU18" s="231"/>
      <c r="IUV18" s="232"/>
      <c r="IUW18" s="233"/>
      <c r="IUX18" s="233"/>
      <c r="IUY18" s="233"/>
      <c r="IUZ18" s="233"/>
      <c r="IVA18" s="233"/>
      <c r="IVB18" s="233"/>
      <c r="IVC18" s="231"/>
      <c r="IVD18" s="231"/>
      <c r="IVE18" s="229"/>
      <c r="IVF18" s="230"/>
      <c r="IVG18" s="231"/>
      <c r="IVH18" s="232"/>
      <c r="IVI18" s="233"/>
      <c r="IVJ18" s="233"/>
      <c r="IVK18" s="233"/>
      <c r="IVL18" s="233"/>
      <c r="IVM18" s="233"/>
      <c r="IVN18" s="233"/>
      <c r="IVO18" s="231"/>
      <c r="IVP18" s="231"/>
      <c r="IVQ18" s="229"/>
      <c r="IVR18" s="230"/>
      <c r="IVS18" s="231"/>
      <c r="IVT18" s="232"/>
      <c r="IVU18" s="233"/>
      <c r="IVV18" s="233"/>
      <c r="IVW18" s="233"/>
      <c r="IVX18" s="233"/>
      <c r="IVY18" s="233"/>
      <c r="IVZ18" s="233"/>
      <c r="IWA18" s="231"/>
      <c r="IWB18" s="231"/>
      <c r="IWC18" s="229"/>
      <c r="IWD18" s="230"/>
      <c r="IWE18" s="231"/>
      <c r="IWF18" s="232"/>
      <c r="IWG18" s="233"/>
      <c r="IWH18" s="233"/>
      <c r="IWI18" s="233"/>
      <c r="IWJ18" s="233"/>
      <c r="IWK18" s="233"/>
      <c r="IWL18" s="233"/>
      <c r="IWM18" s="231"/>
      <c r="IWN18" s="231"/>
      <c r="IWO18" s="229"/>
      <c r="IWP18" s="230"/>
      <c r="IWQ18" s="231"/>
      <c r="IWR18" s="232"/>
      <c r="IWS18" s="233"/>
      <c r="IWT18" s="233"/>
      <c r="IWU18" s="233"/>
      <c r="IWV18" s="233"/>
      <c r="IWW18" s="233"/>
      <c r="IWX18" s="233"/>
      <c r="IWY18" s="231"/>
      <c r="IWZ18" s="231"/>
      <c r="IXA18" s="229"/>
      <c r="IXB18" s="230"/>
      <c r="IXC18" s="231"/>
      <c r="IXD18" s="232"/>
      <c r="IXE18" s="233"/>
      <c r="IXF18" s="233"/>
      <c r="IXG18" s="233"/>
      <c r="IXH18" s="233"/>
      <c r="IXI18" s="233"/>
      <c r="IXJ18" s="233"/>
      <c r="IXK18" s="231"/>
      <c r="IXL18" s="231"/>
      <c r="IXM18" s="229"/>
      <c r="IXN18" s="230"/>
      <c r="IXO18" s="231"/>
      <c r="IXP18" s="232"/>
      <c r="IXQ18" s="233"/>
      <c r="IXR18" s="233"/>
      <c r="IXS18" s="233"/>
      <c r="IXT18" s="233"/>
      <c r="IXU18" s="233"/>
      <c r="IXV18" s="233"/>
      <c r="IXW18" s="231"/>
      <c r="IXX18" s="231"/>
      <c r="IXY18" s="229"/>
      <c r="IXZ18" s="230"/>
      <c r="IYA18" s="231"/>
      <c r="IYB18" s="232"/>
      <c r="IYC18" s="233"/>
      <c r="IYD18" s="233"/>
      <c r="IYE18" s="233"/>
      <c r="IYF18" s="233"/>
      <c r="IYG18" s="233"/>
      <c r="IYH18" s="233"/>
      <c r="IYI18" s="231"/>
      <c r="IYJ18" s="231"/>
      <c r="IYK18" s="229"/>
      <c r="IYL18" s="230"/>
      <c r="IYM18" s="231"/>
      <c r="IYN18" s="232"/>
      <c r="IYO18" s="233"/>
      <c r="IYP18" s="233"/>
      <c r="IYQ18" s="233"/>
      <c r="IYR18" s="233"/>
      <c r="IYS18" s="233"/>
      <c r="IYT18" s="233"/>
      <c r="IYU18" s="231"/>
      <c r="IYV18" s="231"/>
      <c r="IYW18" s="229"/>
      <c r="IYX18" s="230"/>
      <c r="IYY18" s="231"/>
      <c r="IYZ18" s="232"/>
      <c r="IZA18" s="233"/>
      <c r="IZB18" s="233"/>
      <c r="IZC18" s="233"/>
      <c r="IZD18" s="233"/>
      <c r="IZE18" s="233"/>
      <c r="IZF18" s="233"/>
      <c r="IZG18" s="231"/>
      <c r="IZH18" s="231"/>
      <c r="IZI18" s="229"/>
      <c r="IZJ18" s="230"/>
      <c r="IZK18" s="231"/>
      <c r="IZL18" s="232"/>
      <c r="IZM18" s="233"/>
      <c r="IZN18" s="233"/>
      <c r="IZO18" s="233"/>
      <c r="IZP18" s="233"/>
      <c r="IZQ18" s="233"/>
      <c r="IZR18" s="233"/>
      <c r="IZS18" s="231"/>
      <c r="IZT18" s="231"/>
      <c r="IZU18" s="229"/>
      <c r="IZV18" s="230"/>
      <c r="IZW18" s="231"/>
      <c r="IZX18" s="232"/>
      <c r="IZY18" s="233"/>
      <c r="IZZ18" s="233"/>
      <c r="JAA18" s="233"/>
      <c r="JAB18" s="233"/>
      <c r="JAC18" s="233"/>
      <c r="JAD18" s="233"/>
      <c r="JAE18" s="231"/>
      <c r="JAF18" s="231"/>
      <c r="JAG18" s="229"/>
      <c r="JAH18" s="230"/>
      <c r="JAI18" s="231"/>
      <c r="JAJ18" s="232"/>
      <c r="JAK18" s="233"/>
      <c r="JAL18" s="233"/>
      <c r="JAM18" s="233"/>
      <c r="JAN18" s="233"/>
      <c r="JAO18" s="233"/>
      <c r="JAP18" s="233"/>
      <c r="JAQ18" s="231"/>
      <c r="JAR18" s="231"/>
      <c r="JAS18" s="229"/>
      <c r="JAT18" s="230"/>
      <c r="JAU18" s="231"/>
      <c r="JAV18" s="232"/>
      <c r="JAW18" s="233"/>
      <c r="JAX18" s="233"/>
      <c r="JAY18" s="233"/>
      <c r="JAZ18" s="233"/>
      <c r="JBA18" s="233"/>
      <c r="JBB18" s="233"/>
      <c r="JBC18" s="231"/>
      <c r="JBD18" s="231"/>
      <c r="JBE18" s="229"/>
      <c r="JBF18" s="230"/>
      <c r="JBG18" s="231"/>
      <c r="JBH18" s="232"/>
      <c r="JBI18" s="233"/>
      <c r="JBJ18" s="233"/>
      <c r="JBK18" s="233"/>
      <c r="JBL18" s="233"/>
      <c r="JBM18" s="233"/>
      <c r="JBN18" s="233"/>
      <c r="JBO18" s="231"/>
      <c r="JBP18" s="231"/>
      <c r="JBQ18" s="229"/>
      <c r="JBR18" s="230"/>
      <c r="JBS18" s="231"/>
      <c r="JBT18" s="232"/>
      <c r="JBU18" s="233"/>
      <c r="JBV18" s="233"/>
      <c r="JBW18" s="233"/>
      <c r="JBX18" s="233"/>
      <c r="JBY18" s="233"/>
      <c r="JBZ18" s="233"/>
      <c r="JCA18" s="231"/>
      <c r="JCB18" s="231"/>
      <c r="JCC18" s="229"/>
      <c r="JCD18" s="230"/>
      <c r="JCE18" s="231"/>
      <c r="JCF18" s="232"/>
      <c r="JCG18" s="233"/>
      <c r="JCH18" s="233"/>
      <c r="JCI18" s="233"/>
      <c r="JCJ18" s="233"/>
      <c r="JCK18" s="233"/>
      <c r="JCL18" s="233"/>
      <c r="JCM18" s="231"/>
      <c r="JCN18" s="231"/>
      <c r="JCO18" s="229"/>
      <c r="JCP18" s="230"/>
      <c r="JCQ18" s="231"/>
      <c r="JCR18" s="232"/>
      <c r="JCS18" s="233"/>
      <c r="JCT18" s="233"/>
      <c r="JCU18" s="233"/>
      <c r="JCV18" s="233"/>
      <c r="JCW18" s="233"/>
      <c r="JCX18" s="233"/>
      <c r="JCY18" s="231"/>
      <c r="JCZ18" s="231"/>
      <c r="JDA18" s="229"/>
      <c r="JDB18" s="230"/>
      <c r="JDC18" s="231"/>
      <c r="JDD18" s="232"/>
      <c r="JDE18" s="233"/>
      <c r="JDF18" s="233"/>
      <c r="JDG18" s="233"/>
      <c r="JDH18" s="233"/>
      <c r="JDI18" s="233"/>
      <c r="JDJ18" s="233"/>
      <c r="JDK18" s="231"/>
      <c r="JDL18" s="231"/>
      <c r="JDM18" s="229"/>
      <c r="JDN18" s="230"/>
      <c r="JDO18" s="231"/>
      <c r="JDP18" s="232"/>
      <c r="JDQ18" s="233"/>
      <c r="JDR18" s="233"/>
      <c r="JDS18" s="233"/>
      <c r="JDT18" s="233"/>
      <c r="JDU18" s="233"/>
      <c r="JDV18" s="233"/>
      <c r="JDW18" s="231"/>
      <c r="JDX18" s="231"/>
      <c r="JDY18" s="229"/>
      <c r="JDZ18" s="230"/>
      <c r="JEA18" s="231"/>
      <c r="JEB18" s="232"/>
      <c r="JEC18" s="233"/>
      <c r="JED18" s="233"/>
      <c r="JEE18" s="233"/>
      <c r="JEF18" s="233"/>
      <c r="JEG18" s="233"/>
      <c r="JEH18" s="233"/>
      <c r="JEI18" s="231"/>
      <c r="JEJ18" s="231"/>
      <c r="JEK18" s="229"/>
      <c r="JEL18" s="230"/>
      <c r="JEM18" s="231"/>
      <c r="JEN18" s="232"/>
      <c r="JEO18" s="233"/>
      <c r="JEP18" s="233"/>
      <c r="JEQ18" s="233"/>
      <c r="JER18" s="233"/>
      <c r="JES18" s="233"/>
      <c r="JET18" s="233"/>
      <c r="JEU18" s="231"/>
      <c r="JEV18" s="231"/>
      <c r="JEW18" s="229"/>
      <c r="JEX18" s="230"/>
      <c r="JEY18" s="231"/>
      <c r="JEZ18" s="232"/>
      <c r="JFA18" s="233"/>
      <c r="JFB18" s="233"/>
      <c r="JFC18" s="233"/>
      <c r="JFD18" s="233"/>
      <c r="JFE18" s="233"/>
      <c r="JFF18" s="233"/>
      <c r="JFG18" s="231"/>
      <c r="JFH18" s="231"/>
      <c r="JFI18" s="229"/>
      <c r="JFJ18" s="230"/>
      <c r="JFK18" s="231"/>
      <c r="JFL18" s="232"/>
      <c r="JFM18" s="233"/>
      <c r="JFN18" s="233"/>
      <c r="JFO18" s="233"/>
      <c r="JFP18" s="233"/>
      <c r="JFQ18" s="233"/>
      <c r="JFR18" s="233"/>
      <c r="JFS18" s="231"/>
      <c r="JFT18" s="231"/>
      <c r="JFU18" s="229"/>
      <c r="JFV18" s="230"/>
      <c r="JFW18" s="231"/>
      <c r="JFX18" s="232"/>
      <c r="JFY18" s="233"/>
      <c r="JFZ18" s="233"/>
      <c r="JGA18" s="233"/>
      <c r="JGB18" s="233"/>
      <c r="JGC18" s="233"/>
      <c r="JGD18" s="233"/>
      <c r="JGE18" s="231"/>
      <c r="JGF18" s="231"/>
      <c r="JGG18" s="229"/>
      <c r="JGH18" s="230"/>
      <c r="JGI18" s="231"/>
      <c r="JGJ18" s="232"/>
      <c r="JGK18" s="233"/>
      <c r="JGL18" s="233"/>
      <c r="JGM18" s="233"/>
      <c r="JGN18" s="233"/>
      <c r="JGO18" s="233"/>
      <c r="JGP18" s="233"/>
      <c r="JGQ18" s="231"/>
      <c r="JGR18" s="231"/>
      <c r="JGS18" s="229"/>
      <c r="JGT18" s="230"/>
      <c r="JGU18" s="231"/>
      <c r="JGV18" s="232"/>
      <c r="JGW18" s="233"/>
      <c r="JGX18" s="233"/>
      <c r="JGY18" s="233"/>
      <c r="JGZ18" s="233"/>
      <c r="JHA18" s="233"/>
      <c r="JHB18" s="233"/>
      <c r="JHC18" s="231"/>
      <c r="JHD18" s="231"/>
      <c r="JHE18" s="229"/>
      <c r="JHF18" s="230"/>
      <c r="JHG18" s="231"/>
      <c r="JHH18" s="232"/>
      <c r="JHI18" s="233"/>
      <c r="JHJ18" s="233"/>
      <c r="JHK18" s="233"/>
      <c r="JHL18" s="233"/>
      <c r="JHM18" s="233"/>
      <c r="JHN18" s="233"/>
      <c r="JHO18" s="231"/>
      <c r="JHP18" s="231"/>
      <c r="JHQ18" s="229"/>
      <c r="JHR18" s="230"/>
      <c r="JHS18" s="231"/>
      <c r="JHT18" s="232"/>
      <c r="JHU18" s="233"/>
      <c r="JHV18" s="233"/>
      <c r="JHW18" s="233"/>
      <c r="JHX18" s="233"/>
      <c r="JHY18" s="233"/>
      <c r="JHZ18" s="233"/>
      <c r="JIA18" s="231"/>
      <c r="JIB18" s="231"/>
      <c r="JIC18" s="229"/>
      <c r="JID18" s="230"/>
      <c r="JIE18" s="231"/>
      <c r="JIF18" s="232"/>
      <c r="JIG18" s="233"/>
      <c r="JIH18" s="233"/>
      <c r="JII18" s="233"/>
      <c r="JIJ18" s="233"/>
      <c r="JIK18" s="233"/>
      <c r="JIL18" s="233"/>
      <c r="JIM18" s="231"/>
      <c r="JIN18" s="231"/>
      <c r="JIO18" s="229"/>
      <c r="JIP18" s="230"/>
      <c r="JIQ18" s="231"/>
      <c r="JIR18" s="232"/>
      <c r="JIS18" s="233"/>
      <c r="JIT18" s="233"/>
      <c r="JIU18" s="233"/>
      <c r="JIV18" s="233"/>
      <c r="JIW18" s="233"/>
      <c r="JIX18" s="233"/>
      <c r="JIY18" s="231"/>
      <c r="JIZ18" s="231"/>
      <c r="JJA18" s="229"/>
      <c r="JJB18" s="230"/>
      <c r="JJC18" s="231"/>
      <c r="JJD18" s="232"/>
      <c r="JJE18" s="233"/>
      <c r="JJF18" s="233"/>
      <c r="JJG18" s="233"/>
      <c r="JJH18" s="233"/>
      <c r="JJI18" s="233"/>
      <c r="JJJ18" s="233"/>
      <c r="JJK18" s="231"/>
      <c r="JJL18" s="231"/>
      <c r="JJM18" s="229"/>
      <c r="JJN18" s="230"/>
      <c r="JJO18" s="231"/>
      <c r="JJP18" s="232"/>
      <c r="JJQ18" s="233"/>
      <c r="JJR18" s="233"/>
      <c r="JJS18" s="233"/>
      <c r="JJT18" s="233"/>
      <c r="JJU18" s="233"/>
      <c r="JJV18" s="233"/>
      <c r="JJW18" s="231"/>
      <c r="JJX18" s="231"/>
      <c r="JJY18" s="229"/>
      <c r="JJZ18" s="230"/>
      <c r="JKA18" s="231"/>
      <c r="JKB18" s="232"/>
      <c r="JKC18" s="233"/>
      <c r="JKD18" s="233"/>
      <c r="JKE18" s="233"/>
      <c r="JKF18" s="233"/>
      <c r="JKG18" s="233"/>
      <c r="JKH18" s="233"/>
      <c r="JKI18" s="231"/>
      <c r="JKJ18" s="231"/>
      <c r="JKK18" s="229"/>
      <c r="JKL18" s="230"/>
      <c r="JKM18" s="231"/>
      <c r="JKN18" s="232"/>
      <c r="JKO18" s="233"/>
      <c r="JKP18" s="233"/>
      <c r="JKQ18" s="233"/>
      <c r="JKR18" s="233"/>
      <c r="JKS18" s="233"/>
      <c r="JKT18" s="233"/>
      <c r="JKU18" s="231"/>
      <c r="JKV18" s="231"/>
      <c r="JKW18" s="229"/>
      <c r="JKX18" s="230"/>
      <c r="JKY18" s="231"/>
      <c r="JKZ18" s="232"/>
      <c r="JLA18" s="233"/>
      <c r="JLB18" s="233"/>
      <c r="JLC18" s="233"/>
      <c r="JLD18" s="233"/>
      <c r="JLE18" s="233"/>
      <c r="JLF18" s="233"/>
      <c r="JLG18" s="231"/>
      <c r="JLH18" s="231"/>
      <c r="JLI18" s="229"/>
      <c r="JLJ18" s="230"/>
      <c r="JLK18" s="231"/>
      <c r="JLL18" s="232"/>
      <c r="JLM18" s="233"/>
      <c r="JLN18" s="233"/>
      <c r="JLO18" s="233"/>
      <c r="JLP18" s="233"/>
      <c r="JLQ18" s="233"/>
      <c r="JLR18" s="233"/>
      <c r="JLS18" s="231"/>
      <c r="JLT18" s="231"/>
      <c r="JLU18" s="229"/>
      <c r="JLV18" s="230"/>
      <c r="JLW18" s="231"/>
      <c r="JLX18" s="232"/>
      <c r="JLY18" s="233"/>
      <c r="JLZ18" s="233"/>
      <c r="JMA18" s="233"/>
      <c r="JMB18" s="233"/>
      <c r="JMC18" s="233"/>
      <c r="JMD18" s="233"/>
      <c r="JME18" s="231"/>
      <c r="JMF18" s="231"/>
      <c r="JMG18" s="229"/>
      <c r="JMH18" s="230"/>
      <c r="JMI18" s="231"/>
      <c r="JMJ18" s="232"/>
      <c r="JMK18" s="233"/>
      <c r="JML18" s="233"/>
      <c r="JMM18" s="233"/>
      <c r="JMN18" s="233"/>
      <c r="JMO18" s="233"/>
      <c r="JMP18" s="233"/>
      <c r="JMQ18" s="231"/>
      <c r="JMR18" s="231"/>
      <c r="JMS18" s="229"/>
      <c r="JMT18" s="230"/>
      <c r="JMU18" s="231"/>
      <c r="JMV18" s="232"/>
      <c r="JMW18" s="233"/>
      <c r="JMX18" s="233"/>
      <c r="JMY18" s="233"/>
      <c r="JMZ18" s="233"/>
      <c r="JNA18" s="233"/>
      <c r="JNB18" s="233"/>
      <c r="JNC18" s="231"/>
      <c r="JND18" s="231"/>
      <c r="JNE18" s="229"/>
      <c r="JNF18" s="230"/>
      <c r="JNG18" s="231"/>
      <c r="JNH18" s="232"/>
      <c r="JNI18" s="233"/>
      <c r="JNJ18" s="233"/>
      <c r="JNK18" s="233"/>
      <c r="JNL18" s="233"/>
      <c r="JNM18" s="233"/>
      <c r="JNN18" s="233"/>
      <c r="JNO18" s="231"/>
      <c r="JNP18" s="231"/>
      <c r="JNQ18" s="229"/>
      <c r="JNR18" s="230"/>
      <c r="JNS18" s="231"/>
      <c r="JNT18" s="232"/>
      <c r="JNU18" s="233"/>
      <c r="JNV18" s="233"/>
      <c r="JNW18" s="233"/>
      <c r="JNX18" s="233"/>
      <c r="JNY18" s="233"/>
      <c r="JNZ18" s="233"/>
      <c r="JOA18" s="231"/>
      <c r="JOB18" s="231"/>
      <c r="JOC18" s="229"/>
      <c r="JOD18" s="230"/>
      <c r="JOE18" s="231"/>
      <c r="JOF18" s="232"/>
      <c r="JOG18" s="233"/>
      <c r="JOH18" s="233"/>
      <c r="JOI18" s="233"/>
      <c r="JOJ18" s="233"/>
      <c r="JOK18" s="233"/>
      <c r="JOL18" s="233"/>
      <c r="JOM18" s="231"/>
      <c r="JON18" s="231"/>
      <c r="JOO18" s="229"/>
      <c r="JOP18" s="230"/>
      <c r="JOQ18" s="231"/>
      <c r="JOR18" s="232"/>
      <c r="JOS18" s="233"/>
      <c r="JOT18" s="233"/>
      <c r="JOU18" s="233"/>
      <c r="JOV18" s="233"/>
      <c r="JOW18" s="233"/>
      <c r="JOX18" s="233"/>
      <c r="JOY18" s="231"/>
      <c r="JOZ18" s="231"/>
      <c r="JPA18" s="229"/>
      <c r="JPB18" s="230"/>
      <c r="JPC18" s="231"/>
      <c r="JPD18" s="232"/>
      <c r="JPE18" s="233"/>
      <c r="JPF18" s="233"/>
      <c r="JPG18" s="233"/>
      <c r="JPH18" s="233"/>
      <c r="JPI18" s="233"/>
      <c r="JPJ18" s="233"/>
      <c r="JPK18" s="231"/>
      <c r="JPL18" s="231"/>
      <c r="JPM18" s="229"/>
      <c r="JPN18" s="230"/>
      <c r="JPO18" s="231"/>
      <c r="JPP18" s="232"/>
      <c r="JPQ18" s="233"/>
      <c r="JPR18" s="233"/>
      <c r="JPS18" s="233"/>
      <c r="JPT18" s="233"/>
      <c r="JPU18" s="233"/>
      <c r="JPV18" s="233"/>
      <c r="JPW18" s="231"/>
      <c r="JPX18" s="231"/>
      <c r="JPY18" s="229"/>
      <c r="JPZ18" s="230"/>
      <c r="JQA18" s="231"/>
      <c r="JQB18" s="232"/>
      <c r="JQC18" s="233"/>
      <c r="JQD18" s="233"/>
      <c r="JQE18" s="233"/>
      <c r="JQF18" s="233"/>
      <c r="JQG18" s="233"/>
      <c r="JQH18" s="233"/>
      <c r="JQI18" s="231"/>
      <c r="JQJ18" s="231"/>
      <c r="JQK18" s="229"/>
      <c r="JQL18" s="230"/>
      <c r="JQM18" s="231"/>
      <c r="JQN18" s="232"/>
      <c r="JQO18" s="233"/>
      <c r="JQP18" s="233"/>
      <c r="JQQ18" s="233"/>
      <c r="JQR18" s="233"/>
      <c r="JQS18" s="233"/>
      <c r="JQT18" s="233"/>
      <c r="JQU18" s="231"/>
      <c r="JQV18" s="231"/>
      <c r="JQW18" s="229"/>
      <c r="JQX18" s="230"/>
      <c r="JQY18" s="231"/>
      <c r="JQZ18" s="232"/>
      <c r="JRA18" s="233"/>
      <c r="JRB18" s="233"/>
      <c r="JRC18" s="233"/>
      <c r="JRD18" s="233"/>
      <c r="JRE18" s="233"/>
      <c r="JRF18" s="233"/>
      <c r="JRG18" s="231"/>
      <c r="JRH18" s="231"/>
      <c r="JRI18" s="229"/>
      <c r="JRJ18" s="230"/>
      <c r="JRK18" s="231"/>
      <c r="JRL18" s="232"/>
      <c r="JRM18" s="233"/>
      <c r="JRN18" s="233"/>
      <c r="JRO18" s="233"/>
      <c r="JRP18" s="233"/>
      <c r="JRQ18" s="233"/>
      <c r="JRR18" s="233"/>
      <c r="JRS18" s="231"/>
      <c r="JRT18" s="231"/>
      <c r="JRU18" s="229"/>
      <c r="JRV18" s="230"/>
      <c r="JRW18" s="231"/>
      <c r="JRX18" s="232"/>
      <c r="JRY18" s="233"/>
      <c r="JRZ18" s="233"/>
      <c r="JSA18" s="233"/>
      <c r="JSB18" s="233"/>
      <c r="JSC18" s="233"/>
      <c r="JSD18" s="233"/>
      <c r="JSE18" s="231"/>
      <c r="JSF18" s="231"/>
      <c r="JSG18" s="229"/>
      <c r="JSH18" s="230"/>
      <c r="JSI18" s="231"/>
      <c r="JSJ18" s="232"/>
      <c r="JSK18" s="233"/>
      <c r="JSL18" s="233"/>
      <c r="JSM18" s="233"/>
      <c r="JSN18" s="233"/>
      <c r="JSO18" s="233"/>
      <c r="JSP18" s="233"/>
      <c r="JSQ18" s="231"/>
      <c r="JSR18" s="231"/>
      <c r="JSS18" s="229"/>
      <c r="JST18" s="230"/>
      <c r="JSU18" s="231"/>
      <c r="JSV18" s="232"/>
      <c r="JSW18" s="233"/>
      <c r="JSX18" s="233"/>
      <c r="JSY18" s="233"/>
      <c r="JSZ18" s="233"/>
      <c r="JTA18" s="233"/>
      <c r="JTB18" s="233"/>
      <c r="JTC18" s="231"/>
      <c r="JTD18" s="231"/>
      <c r="JTE18" s="229"/>
      <c r="JTF18" s="230"/>
      <c r="JTG18" s="231"/>
      <c r="JTH18" s="232"/>
      <c r="JTI18" s="233"/>
      <c r="JTJ18" s="233"/>
      <c r="JTK18" s="233"/>
      <c r="JTL18" s="233"/>
      <c r="JTM18" s="233"/>
      <c r="JTN18" s="233"/>
      <c r="JTO18" s="231"/>
      <c r="JTP18" s="231"/>
      <c r="JTQ18" s="229"/>
      <c r="JTR18" s="230"/>
      <c r="JTS18" s="231"/>
      <c r="JTT18" s="232"/>
      <c r="JTU18" s="233"/>
      <c r="JTV18" s="233"/>
      <c r="JTW18" s="233"/>
      <c r="JTX18" s="233"/>
      <c r="JTY18" s="233"/>
      <c r="JTZ18" s="233"/>
      <c r="JUA18" s="231"/>
      <c r="JUB18" s="231"/>
      <c r="JUC18" s="229"/>
      <c r="JUD18" s="230"/>
      <c r="JUE18" s="231"/>
      <c r="JUF18" s="232"/>
      <c r="JUG18" s="233"/>
      <c r="JUH18" s="233"/>
      <c r="JUI18" s="233"/>
      <c r="JUJ18" s="233"/>
      <c r="JUK18" s="233"/>
      <c r="JUL18" s="233"/>
      <c r="JUM18" s="231"/>
      <c r="JUN18" s="231"/>
      <c r="JUO18" s="229"/>
      <c r="JUP18" s="230"/>
      <c r="JUQ18" s="231"/>
      <c r="JUR18" s="232"/>
      <c r="JUS18" s="233"/>
      <c r="JUT18" s="233"/>
      <c r="JUU18" s="233"/>
      <c r="JUV18" s="233"/>
      <c r="JUW18" s="233"/>
      <c r="JUX18" s="233"/>
      <c r="JUY18" s="231"/>
      <c r="JUZ18" s="231"/>
      <c r="JVA18" s="229"/>
      <c r="JVB18" s="230"/>
      <c r="JVC18" s="231"/>
      <c r="JVD18" s="232"/>
      <c r="JVE18" s="233"/>
      <c r="JVF18" s="233"/>
      <c r="JVG18" s="233"/>
      <c r="JVH18" s="233"/>
      <c r="JVI18" s="233"/>
      <c r="JVJ18" s="233"/>
      <c r="JVK18" s="231"/>
      <c r="JVL18" s="231"/>
      <c r="JVM18" s="229"/>
      <c r="JVN18" s="230"/>
      <c r="JVO18" s="231"/>
      <c r="JVP18" s="232"/>
      <c r="JVQ18" s="233"/>
      <c r="JVR18" s="233"/>
      <c r="JVS18" s="233"/>
      <c r="JVT18" s="233"/>
      <c r="JVU18" s="233"/>
      <c r="JVV18" s="233"/>
      <c r="JVW18" s="231"/>
      <c r="JVX18" s="231"/>
      <c r="JVY18" s="229"/>
      <c r="JVZ18" s="230"/>
      <c r="JWA18" s="231"/>
      <c r="JWB18" s="232"/>
      <c r="JWC18" s="233"/>
      <c r="JWD18" s="233"/>
      <c r="JWE18" s="233"/>
      <c r="JWF18" s="233"/>
      <c r="JWG18" s="233"/>
      <c r="JWH18" s="233"/>
      <c r="JWI18" s="231"/>
      <c r="JWJ18" s="231"/>
      <c r="JWK18" s="229"/>
      <c r="JWL18" s="230"/>
      <c r="JWM18" s="231"/>
      <c r="JWN18" s="232"/>
      <c r="JWO18" s="233"/>
      <c r="JWP18" s="233"/>
      <c r="JWQ18" s="233"/>
      <c r="JWR18" s="233"/>
      <c r="JWS18" s="233"/>
      <c r="JWT18" s="233"/>
      <c r="JWU18" s="231"/>
      <c r="JWV18" s="231"/>
      <c r="JWW18" s="229"/>
      <c r="JWX18" s="230"/>
      <c r="JWY18" s="231"/>
      <c r="JWZ18" s="232"/>
      <c r="JXA18" s="233"/>
      <c r="JXB18" s="233"/>
      <c r="JXC18" s="233"/>
      <c r="JXD18" s="233"/>
      <c r="JXE18" s="233"/>
      <c r="JXF18" s="233"/>
      <c r="JXG18" s="231"/>
      <c r="JXH18" s="231"/>
      <c r="JXI18" s="229"/>
      <c r="JXJ18" s="230"/>
      <c r="JXK18" s="231"/>
      <c r="JXL18" s="232"/>
      <c r="JXM18" s="233"/>
      <c r="JXN18" s="233"/>
      <c r="JXO18" s="233"/>
      <c r="JXP18" s="233"/>
      <c r="JXQ18" s="233"/>
      <c r="JXR18" s="233"/>
      <c r="JXS18" s="231"/>
      <c r="JXT18" s="231"/>
      <c r="JXU18" s="229"/>
      <c r="JXV18" s="230"/>
      <c r="JXW18" s="231"/>
      <c r="JXX18" s="232"/>
      <c r="JXY18" s="233"/>
      <c r="JXZ18" s="233"/>
      <c r="JYA18" s="233"/>
      <c r="JYB18" s="233"/>
      <c r="JYC18" s="233"/>
      <c r="JYD18" s="233"/>
      <c r="JYE18" s="231"/>
      <c r="JYF18" s="231"/>
      <c r="JYG18" s="229"/>
      <c r="JYH18" s="230"/>
      <c r="JYI18" s="231"/>
      <c r="JYJ18" s="232"/>
      <c r="JYK18" s="233"/>
      <c r="JYL18" s="233"/>
      <c r="JYM18" s="233"/>
      <c r="JYN18" s="233"/>
      <c r="JYO18" s="233"/>
      <c r="JYP18" s="233"/>
      <c r="JYQ18" s="231"/>
      <c r="JYR18" s="231"/>
      <c r="JYS18" s="229"/>
      <c r="JYT18" s="230"/>
      <c r="JYU18" s="231"/>
      <c r="JYV18" s="232"/>
      <c r="JYW18" s="233"/>
      <c r="JYX18" s="233"/>
      <c r="JYY18" s="233"/>
      <c r="JYZ18" s="233"/>
      <c r="JZA18" s="233"/>
      <c r="JZB18" s="233"/>
      <c r="JZC18" s="231"/>
      <c r="JZD18" s="231"/>
      <c r="JZE18" s="229"/>
      <c r="JZF18" s="230"/>
      <c r="JZG18" s="231"/>
      <c r="JZH18" s="232"/>
      <c r="JZI18" s="233"/>
      <c r="JZJ18" s="233"/>
      <c r="JZK18" s="233"/>
      <c r="JZL18" s="233"/>
      <c r="JZM18" s="233"/>
      <c r="JZN18" s="233"/>
      <c r="JZO18" s="231"/>
      <c r="JZP18" s="231"/>
      <c r="JZQ18" s="229"/>
      <c r="JZR18" s="230"/>
      <c r="JZS18" s="231"/>
      <c r="JZT18" s="232"/>
      <c r="JZU18" s="233"/>
      <c r="JZV18" s="233"/>
      <c r="JZW18" s="233"/>
      <c r="JZX18" s="233"/>
      <c r="JZY18" s="233"/>
      <c r="JZZ18" s="233"/>
      <c r="KAA18" s="231"/>
      <c r="KAB18" s="231"/>
      <c r="KAC18" s="229"/>
      <c r="KAD18" s="230"/>
      <c r="KAE18" s="231"/>
      <c r="KAF18" s="232"/>
      <c r="KAG18" s="233"/>
      <c r="KAH18" s="233"/>
      <c r="KAI18" s="233"/>
      <c r="KAJ18" s="233"/>
      <c r="KAK18" s="233"/>
      <c r="KAL18" s="233"/>
      <c r="KAM18" s="231"/>
      <c r="KAN18" s="231"/>
      <c r="KAO18" s="229"/>
      <c r="KAP18" s="230"/>
      <c r="KAQ18" s="231"/>
      <c r="KAR18" s="232"/>
      <c r="KAS18" s="233"/>
      <c r="KAT18" s="233"/>
      <c r="KAU18" s="233"/>
      <c r="KAV18" s="233"/>
      <c r="KAW18" s="233"/>
      <c r="KAX18" s="233"/>
      <c r="KAY18" s="231"/>
      <c r="KAZ18" s="231"/>
      <c r="KBA18" s="229"/>
      <c r="KBB18" s="230"/>
      <c r="KBC18" s="231"/>
      <c r="KBD18" s="232"/>
      <c r="KBE18" s="233"/>
      <c r="KBF18" s="233"/>
      <c r="KBG18" s="233"/>
      <c r="KBH18" s="233"/>
      <c r="KBI18" s="233"/>
      <c r="KBJ18" s="233"/>
      <c r="KBK18" s="231"/>
      <c r="KBL18" s="231"/>
      <c r="KBM18" s="229"/>
      <c r="KBN18" s="230"/>
      <c r="KBO18" s="231"/>
      <c r="KBP18" s="232"/>
      <c r="KBQ18" s="233"/>
      <c r="KBR18" s="233"/>
      <c r="KBS18" s="233"/>
      <c r="KBT18" s="233"/>
      <c r="KBU18" s="233"/>
      <c r="KBV18" s="233"/>
      <c r="KBW18" s="231"/>
      <c r="KBX18" s="231"/>
      <c r="KBY18" s="229"/>
      <c r="KBZ18" s="230"/>
      <c r="KCA18" s="231"/>
      <c r="KCB18" s="232"/>
      <c r="KCC18" s="233"/>
      <c r="KCD18" s="233"/>
      <c r="KCE18" s="233"/>
      <c r="KCF18" s="233"/>
      <c r="KCG18" s="233"/>
      <c r="KCH18" s="233"/>
      <c r="KCI18" s="231"/>
      <c r="KCJ18" s="231"/>
      <c r="KCK18" s="229"/>
      <c r="KCL18" s="230"/>
      <c r="KCM18" s="231"/>
      <c r="KCN18" s="232"/>
      <c r="KCO18" s="233"/>
      <c r="KCP18" s="233"/>
      <c r="KCQ18" s="233"/>
      <c r="KCR18" s="233"/>
      <c r="KCS18" s="233"/>
      <c r="KCT18" s="233"/>
      <c r="KCU18" s="231"/>
      <c r="KCV18" s="231"/>
      <c r="KCW18" s="229"/>
      <c r="KCX18" s="230"/>
      <c r="KCY18" s="231"/>
      <c r="KCZ18" s="232"/>
      <c r="KDA18" s="233"/>
      <c r="KDB18" s="233"/>
      <c r="KDC18" s="233"/>
      <c r="KDD18" s="233"/>
      <c r="KDE18" s="233"/>
      <c r="KDF18" s="233"/>
      <c r="KDG18" s="231"/>
      <c r="KDH18" s="231"/>
      <c r="KDI18" s="229"/>
      <c r="KDJ18" s="230"/>
      <c r="KDK18" s="231"/>
      <c r="KDL18" s="232"/>
      <c r="KDM18" s="233"/>
      <c r="KDN18" s="233"/>
      <c r="KDO18" s="233"/>
      <c r="KDP18" s="233"/>
      <c r="KDQ18" s="233"/>
      <c r="KDR18" s="233"/>
      <c r="KDS18" s="231"/>
      <c r="KDT18" s="231"/>
      <c r="KDU18" s="229"/>
      <c r="KDV18" s="230"/>
      <c r="KDW18" s="231"/>
      <c r="KDX18" s="232"/>
      <c r="KDY18" s="233"/>
      <c r="KDZ18" s="233"/>
      <c r="KEA18" s="233"/>
      <c r="KEB18" s="233"/>
      <c r="KEC18" s="233"/>
      <c r="KED18" s="233"/>
      <c r="KEE18" s="231"/>
      <c r="KEF18" s="231"/>
      <c r="KEG18" s="229"/>
      <c r="KEH18" s="230"/>
      <c r="KEI18" s="231"/>
      <c r="KEJ18" s="232"/>
      <c r="KEK18" s="233"/>
      <c r="KEL18" s="233"/>
      <c r="KEM18" s="233"/>
      <c r="KEN18" s="233"/>
      <c r="KEO18" s="233"/>
      <c r="KEP18" s="233"/>
      <c r="KEQ18" s="231"/>
      <c r="KER18" s="231"/>
      <c r="KES18" s="229"/>
      <c r="KET18" s="230"/>
      <c r="KEU18" s="231"/>
      <c r="KEV18" s="232"/>
      <c r="KEW18" s="233"/>
      <c r="KEX18" s="233"/>
      <c r="KEY18" s="233"/>
      <c r="KEZ18" s="233"/>
      <c r="KFA18" s="233"/>
      <c r="KFB18" s="233"/>
      <c r="KFC18" s="231"/>
      <c r="KFD18" s="231"/>
      <c r="KFE18" s="229"/>
      <c r="KFF18" s="230"/>
      <c r="KFG18" s="231"/>
      <c r="KFH18" s="232"/>
      <c r="KFI18" s="233"/>
      <c r="KFJ18" s="233"/>
      <c r="KFK18" s="233"/>
      <c r="KFL18" s="233"/>
      <c r="KFM18" s="233"/>
      <c r="KFN18" s="233"/>
      <c r="KFO18" s="231"/>
      <c r="KFP18" s="231"/>
      <c r="KFQ18" s="229"/>
      <c r="KFR18" s="230"/>
      <c r="KFS18" s="231"/>
      <c r="KFT18" s="232"/>
      <c r="KFU18" s="233"/>
      <c r="KFV18" s="233"/>
      <c r="KFW18" s="233"/>
      <c r="KFX18" s="233"/>
      <c r="KFY18" s="233"/>
      <c r="KFZ18" s="233"/>
      <c r="KGA18" s="231"/>
      <c r="KGB18" s="231"/>
      <c r="KGC18" s="229"/>
      <c r="KGD18" s="230"/>
      <c r="KGE18" s="231"/>
      <c r="KGF18" s="232"/>
      <c r="KGG18" s="233"/>
      <c r="KGH18" s="233"/>
      <c r="KGI18" s="233"/>
      <c r="KGJ18" s="233"/>
      <c r="KGK18" s="233"/>
      <c r="KGL18" s="233"/>
      <c r="KGM18" s="231"/>
      <c r="KGN18" s="231"/>
      <c r="KGO18" s="229"/>
      <c r="KGP18" s="230"/>
      <c r="KGQ18" s="231"/>
      <c r="KGR18" s="232"/>
      <c r="KGS18" s="233"/>
      <c r="KGT18" s="233"/>
      <c r="KGU18" s="233"/>
      <c r="KGV18" s="233"/>
      <c r="KGW18" s="233"/>
      <c r="KGX18" s="233"/>
      <c r="KGY18" s="231"/>
      <c r="KGZ18" s="231"/>
      <c r="KHA18" s="229"/>
      <c r="KHB18" s="230"/>
      <c r="KHC18" s="231"/>
      <c r="KHD18" s="232"/>
      <c r="KHE18" s="233"/>
      <c r="KHF18" s="233"/>
      <c r="KHG18" s="233"/>
      <c r="KHH18" s="233"/>
      <c r="KHI18" s="233"/>
      <c r="KHJ18" s="233"/>
      <c r="KHK18" s="231"/>
      <c r="KHL18" s="231"/>
      <c r="KHM18" s="229"/>
      <c r="KHN18" s="230"/>
      <c r="KHO18" s="231"/>
      <c r="KHP18" s="232"/>
      <c r="KHQ18" s="233"/>
      <c r="KHR18" s="233"/>
      <c r="KHS18" s="233"/>
      <c r="KHT18" s="233"/>
      <c r="KHU18" s="233"/>
      <c r="KHV18" s="233"/>
      <c r="KHW18" s="231"/>
      <c r="KHX18" s="231"/>
      <c r="KHY18" s="229"/>
      <c r="KHZ18" s="230"/>
      <c r="KIA18" s="231"/>
      <c r="KIB18" s="232"/>
      <c r="KIC18" s="233"/>
      <c r="KID18" s="233"/>
      <c r="KIE18" s="233"/>
      <c r="KIF18" s="233"/>
      <c r="KIG18" s="233"/>
      <c r="KIH18" s="233"/>
      <c r="KII18" s="231"/>
      <c r="KIJ18" s="231"/>
      <c r="KIK18" s="229"/>
      <c r="KIL18" s="230"/>
      <c r="KIM18" s="231"/>
      <c r="KIN18" s="232"/>
      <c r="KIO18" s="233"/>
      <c r="KIP18" s="233"/>
      <c r="KIQ18" s="233"/>
      <c r="KIR18" s="233"/>
      <c r="KIS18" s="233"/>
      <c r="KIT18" s="233"/>
      <c r="KIU18" s="231"/>
      <c r="KIV18" s="231"/>
      <c r="KIW18" s="229"/>
      <c r="KIX18" s="230"/>
      <c r="KIY18" s="231"/>
      <c r="KIZ18" s="232"/>
      <c r="KJA18" s="233"/>
      <c r="KJB18" s="233"/>
      <c r="KJC18" s="233"/>
      <c r="KJD18" s="233"/>
      <c r="KJE18" s="233"/>
      <c r="KJF18" s="233"/>
      <c r="KJG18" s="231"/>
      <c r="KJH18" s="231"/>
      <c r="KJI18" s="229"/>
      <c r="KJJ18" s="230"/>
      <c r="KJK18" s="231"/>
      <c r="KJL18" s="232"/>
      <c r="KJM18" s="233"/>
      <c r="KJN18" s="233"/>
      <c r="KJO18" s="233"/>
      <c r="KJP18" s="233"/>
      <c r="KJQ18" s="233"/>
      <c r="KJR18" s="233"/>
      <c r="KJS18" s="231"/>
      <c r="KJT18" s="231"/>
      <c r="KJU18" s="229"/>
      <c r="KJV18" s="230"/>
      <c r="KJW18" s="231"/>
      <c r="KJX18" s="232"/>
      <c r="KJY18" s="233"/>
      <c r="KJZ18" s="233"/>
      <c r="KKA18" s="233"/>
      <c r="KKB18" s="233"/>
      <c r="KKC18" s="233"/>
      <c r="KKD18" s="233"/>
      <c r="KKE18" s="231"/>
      <c r="KKF18" s="231"/>
      <c r="KKG18" s="229"/>
      <c r="KKH18" s="230"/>
      <c r="KKI18" s="231"/>
      <c r="KKJ18" s="232"/>
      <c r="KKK18" s="233"/>
      <c r="KKL18" s="233"/>
      <c r="KKM18" s="233"/>
      <c r="KKN18" s="233"/>
      <c r="KKO18" s="233"/>
      <c r="KKP18" s="233"/>
      <c r="KKQ18" s="231"/>
      <c r="KKR18" s="231"/>
      <c r="KKS18" s="229"/>
      <c r="KKT18" s="230"/>
      <c r="KKU18" s="231"/>
      <c r="KKV18" s="232"/>
      <c r="KKW18" s="233"/>
      <c r="KKX18" s="233"/>
      <c r="KKY18" s="233"/>
      <c r="KKZ18" s="233"/>
      <c r="KLA18" s="233"/>
      <c r="KLB18" s="233"/>
      <c r="KLC18" s="231"/>
      <c r="KLD18" s="231"/>
      <c r="KLE18" s="229"/>
      <c r="KLF18" s="230"/>
      <c r="KLG18" s="231"/>
      <c r="KLH18" s="232"/>
      <c r="KLI18" s="233"/>
      <c r="KLJ18" s="233"/>
      <c r="KLK18" s="233"/>
      <c r="KLL18" s="233"/>
      <c r="KLM18" s="233"/>
      <c r="KLN18" s="233"/>
      <c r="KLO18" s="231"/>
      <c r="KLP18" s="231"/>
      <c r="KLQ18" s="229"/>
      <c r="KLR18" s="230"/>
      <c r="KLS18" s="231"/>
      <c r="KLT18" s="232"/>
      <c r="KLU18" s="233"/>
      <c r="KLV18" s="233"/>
      <c r="KLW18" s="233"/>
      <c r="KLX18" s="233"/>
      <c r="KLY18" s="233"/>
      <c r="KLZ18" s="233"/>
      <c r="KMA18" s="231"/>
      <c r="KMB18" s="231"/>
      <c r="KMC18" s="229"/>
      <c r="KMD18" s="230"/>
      <c r="KME18" s="231"/>
      <c r="KMF18" s="232"/>
      <c r="KMG18" s="233"/>
      <c r="KMH18" s="233"/>
      <c r="KMI18" s="233"/>
      <c r="KMJ18" s="233"/>
      <c r="KMK18" s="233"/>
      <c r="KML18" s="233"/>
      <c r="KMM18" s="231"/>
      <c r="KMN18" s="231"/>
      <c r="KMO18" s="229"/>
      <c r="KMP18" s="230"/>
      <c r="KMQ18" s="231"/>
      <c r="KMR18" s="232"/>
      <c r="KMS18" s="233"/>
      <c r="KMT18" s="233"/>
      <c r="KMU18" s="233"/>
      <c r="KMV18" s="233"/>
      <c r="KMW18" s="233"/>
      <c r="KMX18" s="233"/>
      <c r="KMY18" s="231"/>
      <c r="KMZ18" s="231"/>
      <c r="KNA18" s="229"/>
      <c r="KNB18" s="230"/>
      <c r="KNC18" s="231"/>
      <c r="KND18" s="232"/>
      <c r="KNE18" s="233"/>
      <c r="KNF18" s="233"/>
      <c r="KNG18" s="233"/>
      <c r="KNH18" s="233"/>
      <c r="KNI18" s="233"/>
      <c r="KNJ18" s="233"/>
      <c r="KNK18" s="231"/>
      <c r="KNL18" s="231"/>
      <c r="KNM18" s="229"/>
      <c r="KNN18" s="230"/>
      <c r="KNO18" s="231"/>
      <c r="KNP18" s="232"/>
      <c r="KNQ18" s="233"/>
      <c r="KNR18" s="233"/>
      <c r="KNS18" s="233"/>
      <c r="KNT18" s="233"/>
      <c r="KNU18" s="233"/>
      <c r="KNV18" s="233"/>
      <c r="KNW18" s="231"/>
      <c r="KNX18" s="231"/>
      <c r="KNY18" s="229"/>
      <c r="KNZ18" s="230"/>
      <c r="KOA18" s="231"/>
      <c r="KOB18" s="232"/>
      <c r="KOC18" s="233"/>
      <c r="KOD18" s="233"/>
      <c r="KOE18" s="233"/>
      <c r="KOF18" s="233"/>
      <c r="KOG18" s="233"/>
      <c r="KOH18" s="233"/>
      <c r="KOI18" s="231"/>
      <c r="KOJ18" s="231"/>
      <c r="KOK18" s="229"/>
      <c r="KOL18" s="230"/>
      <c r="KOM18" s="231"/>
      <c r="KON18" s="232"/>
      <c r="KOO18" s="233"/>
      <c r="KOP18" s="233"/>
      <c r="KOQ18" s="233"/>
      <c r="KOR18" s="233"/>
      <c r="KOS18" s="233"/>
      <c r="KOT18" s="233"/>
      <c r="KOU18" s="231"/>
      <c r="KOV18" s="231"/>
      <c r="KOW18" s="229"/>
      <c r="KOX18" s="230"/>
      <c r="KOY18" s="231"/>
      <c r="KOZ18" s="232"/>
      <c r="KPA18" s="233"/>
      <c r="KPB18" s="233"/>
      <c r="KPC18" s="233"/>
      <c r="KPD18" s="233"/>
      <c r="KPE18" s="233"/>
      <c r="KPF18" s="233"/>
      <c r="KPG18" s="231"/>
      <c r="KPH18" s="231"/>
      <c r="KPI18" s="229"/>
      <c r="KPJ18" s="230"/>
      <c r="KPK18" s="231"/>
      <c r="KPL18" s="232"/>
      <c r="KPM18" s="233"/>
      <c r="KPN18" s="233"/>
      <c r="KPO18" s="233"/>
      <c r="KPP18" s="233"/>
      <c r="KPQ18" s="233"/>
      <c r="KPR18" s="233"/>
      <c r="KPS18" s="231"/>
      <c r="KPT18" s="231"/>
      <c r="KPU18" s="229"/>
      <c r="KPV18" s="230"/>
      <c r="KPW18" s="231"/>
      <c r="KPX18" s="232"/>
      <c r="KPY18" s="233"/>
      <c r="KPZ18" s="233"/>
      <c r="KQA18" s="233"/>
      <c r="KQB18" s="233"/>
      <c r="KQC18" s="233"/>
      <c r="KQD18" s="233"/>
      <c r="KQE18" s="231"/>
      <c r="KQF18" s="231"/>
      <c r="KQG18" s="229"/>
      <c r="KQH18" s="230"/>
      <c r="KQI18" s="231"/>
      <c r="KQJ18" s="232"/>
      <c r="KQK18" s="233"/>
      <c r="KQL18" s="233"/>
      <c r="KQM18" s="233"/>
      <c r="KQN18" s="233"/>
      <c r="KQO18" s="233"/>
      <c r="KQP18" s="233"/>
      <c r="KQQ18" s="231"/>
      <c r="KQR18" s="231"/>
      <c r="KQS18" s="229"/>
      <c r="KQT18" s="230"/>
      <c r="KQU18" s="231"/>
      <c r="KQV18" s="232"/>
      <c r="KQW18" s="233"/>
      <c r="KQX18" s="233"/>
      <c r="KQY18" s="233"/>
      <c r="KQZ18" s="233"/>
      <c r="KRA18" s="233"/>
      <c r="KRB18" s="233"/>
      <c r="KRC18" s="231"/>
      <c r="KRD18" s="231"/>
      <c r="KRE18" s="229"/>
      <c r="KRF18" s="230"/>
      <c r="KRG18" s="231"/>
      <c r="KRH18" s="232"/>
      <c r="KRI18" s="233"/>
      <c r="KRJ18" s="233"/>
      <c r="KRK18" s="233"/>
      <c r="KRL18" s="233"/>
      <c r="KRM18" s="233"/>
      <c r="KRN18" s="233"/>
      <c r="KRO18" s="231"/>
      <c r="KRP18" s="231"/>
      <c r="KRQ18" s="229"/>
      <c r="KRR18" s="230"/>
      <c r="KRS18" s="231"/>
      <c r="KRT18" s="232"/>
      <c r="KRU18" s="233"/>
      <c r="KRV18" s="233"/>
      <c r="KRW18" s="233"/>
      <c r="KRX18" s="233"/>
      <c r="KRY18" s="233"/>
      <c r="KRZ18" s="233"/>
      <c r="KSA18" s="231"/>
      <c r="KSB18" s="231"/>
      <c r="KSC18" s="229"/>
      <c r="KSD18" s="230"/>
      <c r="KSE18" s="231"/>
      <c r="KSF18" s="232"/>
      <c r="KSG18" s="233"/>
      <c r="KSH18" s="233"/>
      <c r="KSI18" s="233"/>
      <c r="KSJ18" s="233"/>
      <c r="KSK18" s="233"/>
      <c r="KSL18" s="233"/>
      <c r="KSM18" s="231"/>
      <c r="KSN18" s="231"/>
      <c r="KSO18" s="229"/>
      <c r="KSP18" s="230"/>
      <c r="KSQ18" s="231"/>
      <c r="KSR18" s="232"/>
      <c r="KSS18" s="233"/>
      <c r="KST18" s="233"/>
      <c r="KSU18" s="233"/>
      <c r="KSV18" s="233"/>
      <c r="KSW18" s="233"/>
      <c r="KSX18" s="233"/>
      <c r="KSY18" s="231"/>
      <c r="KSZ18" s="231"/>
      <c r="KTA18" s="229"/>
      <c r="KTB18" s="230"/>
      <c r="KTC18" s="231"/>
      <c r="KTD18" s="232"/>
      <c r="KTE18" s="233"/>
      <c r="KTF18" s="233"/>
      <c r="KTG18" s="233"/>
      <c r="KTH18" s="233"/>
      <c r="KTI18" s="233"/>
      <c r="KTJ18" s="233"/>
      <c r="KTK18" s="231"/>
      <c r="KTL18" s="231"/>
      <c r="KTM18" s="229"/>
      <c r="KTN18" s="230"/>
      <c r="KTO18" s="231"/>
      <c r="KTP18" s="232"/>
      <c r="KTQ18" s="233"/>
      <c r="KTR18" s="233"/>
      <c r="KTS18" s="233"/>
      <c r="KTT18" s="233"/>
      <c r="KTU18" s="233"/>
      <c r="KTV18" s="233"/>
      <c r="KTW18" s="231"/>
      <c r="KTX18" s="231"/>
      <c r="KTY18" s="229"/>
      <c r="KTZ18" s="230"/>
      <c r="KUA18" s="231"/>
      <c r="KUB18" s="232"/>
      <c r="KUC18" s="233"/>
      <c r="KUD18" s="233"/>
      <c r="KUE18" s="233"/>
      <c r="KUF18" s="233"/>
      <c r="KUG18" s="233"/>
      <c r="KUH18" s="233"/>
      <c r="KUI18" s="231"/>
      <c r="KUJ18" s="231"/>
      <c r="KUK18" s="229"/>
      <c r="KUL18" s="230"/>
      <c r="KUM18" s="231"/>
      <c r="KUN18" s="232"/>
      <c r="KUO18" s="233"/>
      <c r="KUP18" s="233"/>
      <c r="KUQ18" s="233"/>
      <c r="KUR18" s="233"/>
      <c r="KUS18" s="233"/>
      <c r="KUT18" s="233"/>
      <c r="KUU18" s="231"/>
      <c r="KUV18" s="231"/>
      <c r="KUW18" s="229"/>
      <c r="KUX18" s="230"/>
      <c r="KUY18" s="231"/>
      <c r="KUZ18" s="232"/>
      <c r="KVA18" s="233"/>
      <c r="KVB18" s="233"/>
      <c r="KVC18" s="233"/>
      <c r="KVD18" s="233"/>
      <c r="KVE18" s="233"/>
      <c r="KVF18" s="233"/>
      <c r="KVG18" s="231"/>
      <c r="KVH18" s="231"/>
      <c r="KVI18" s="229"/>
      <c r="KVJ18" s="230"/>
      <c r="KVK18" s="231"/>
      <c r="KVL18" s="232"/>
      <c r="KVM18" s="233"/>
      <c r="KVN18" s="233"/>
      <c r="KVO18" s="233"/>
      <c r="KVP18" s="233"/>
      <c r="KVQ18" s="233"/>
      <c r="KVR18" s="233"/>
      <c r="KVS18" s="231"/>
      <c r="KVT18" s="231"/>
      <c r="KVU18" s="229"/>
      <c r="KVV18" s="230"/>
      <c r="KVW18" s="231"/>
      <c r="KVX18" s="232"/>
      <c r="KVY18" s="233"/>
      <c r="KVZ18" s="233"/>
      <c r="KWA18" s="233"/>
      <c r="KWB18" s="233"/>
      <c r="KWC18" s="233"/>
      <c r="KWD18" s="233"/>
      <c r="KWE18" s="231"/>
      <c r="KWF18" s="231"/>
      <c r="KWG18" s="229"/>
      <c r="KWH18" s="230"/>
      <c r="KWI18" s="231"/>
      <c r="KWJ18" s="232"/>
      <c r="KWK18" s="233"/>
      <c r="KWL18" s="233"/>
      <c r="KWM18" s="233"/>
      <c r="KWN18" s="233"/>
      <c r="KWO18" s="233"/>
      <c r="KWP18" s="233"/>
      <c r="KWQ18" s="231"/>
      <c r="KWR18" s="231"/>
      <c r="KWS18" s="229"/>
      <c r="KWT18" s="230"/>
      <c r="KWU18" s="231"/>
      <c r="KWV18" s="232"/>
      <c r="KWW18" s="233"/>
      <c r="KWX18" s="233"/>
      <c r="KWY18" s="233"/>
      <c r="KWZ18" s="233"/>
      <c r="KXA18" s="233"/>
      <c r="KXB18" s="233"/>
      <c r="KXC18" s="231"/>
      <c r="KXD18" s="231"/>
      <c r="KXE18" s="229"/>
      <c r="KXF18" s="230"/>
      <c r="KXG18" s="231"/>
      <c r="KXH18" s="232"/>
      <c r="KXI18" s="233"/>
      <c r="KXJ18" s="233"/>
      <c r="KXK18" s="233"/>
      <c r="KXL18" s="233"/>
      <c r="KXM18" s="233"/>
      <c r="KXN18" s="233"/>
      <c r="KXO18" s="231"/>
      <c r="KXP18" s="231"/>
      <c r="KXQ18" s="229"/>
      <c r="KXR18" s="230"/>
      <c r="KXS18" s="231"/>
      <c r="KXT18" s="232"/>
      <c r="KXU18" s="233"/>
      <c r="KXV18" s="233"/>
      <c r="KXW18" s="233"/>
      <c r="KXX18" s="233"/>
      <c r="KXY18" s="233"/>
      <c r="KXZ18" s="233"/>
      <c r="KYA18" s="231"/>
      <c r="KYB18" s="231"/>
      <c r="KYC18" s="229"/>
      <c r="KYD18" s="230"/>
      <c r="KYE18" s="231"/>
      <c r="KYF18" s="232"/>
      <c r="KYG18" s="233"/>
      <c r="KYH18" s="233"/>
      <c r="KYI18" s="233"/>
      <c r="KYJ18" s="233"/>
      <c r="KYK18" s="233"/>
      <c r="KYL18" s="233"/>
      <c r="KYM18" s="231"/>
      <c r="KYN18" s="231"/>
      <c r="KYO18" s="229"/>
      <c r="KYP18" s="230"/>
      <c r="KYQ18" s="231"/>
      <c r="KYR18" s="232"/>
      <c r="KYS18" s="233"/>
      <c r="KYT18" s="233"/>
      <c r="KYU18" s="233"/>
      <c r="KYV18" s="233"/>
      <c r="KYW18" s="233"/>
      <c r="KYX18" s="233"/>
      <c r="KYY18" s="231"/>
      <c r="KYZ18" s="231"/>
      <c r="KZA18" s="229"/>
      <c r="KZB18" s="230"/>
      <c r="KZC18" s="231"/>
      <c r="KZD18" s="232"/>
      <c r="KZE18" s="233"/>
      <c r="KZF18" s="233"/>
      <c r="KZG18" s="233"/>
      <c r="KZH18" s="233"/>
      <c r="KZI18" s="233"/>
      <c r="KZJ18" s="233"/>
      <c r="KZK18" s="231"/>
      <c r="KZL18" s="231"/>
      <c r="KZM18" s="229"/>
      <c r="KZN18" s="230"/>
      <c r="KZO18" s="231"/>
      <c r="KZP18" s="232"/>
      <c r="KZQ18" s="233"/>
      <c r="KZR18" s="233"/>
      <c r="KZS18" s="233"/>
      <c r="KZT18" s="233"/>
      <c r="KZU18" s="233"/>
      <c r="KZV18" s="233"/>
      <c r="KZW18" s="231"/>
      <c r="KZX18" s="231"/>
      <c r="KZY18" s="229"/>
      <c r="KZZ18" s="230"/>
      <c r="LAA18" s="231"/>
      <c r="LAB18" s="232"/>
      <c r="LAC18" s="233"/>
      <c r="LAD18" s="233"/>
      <c r="LAE18" s="233"/>
      <c r="LAF18" s="233"/>
      <c r="LAG18" s="233"/>
      <c r="LAH18" s="233"/>
      <c r="LAI18" s="231"/>
      <c r="LAJ18" s="231"/>
      <c r="LAK18" s="229"/>
      <c r="LAL18" s="230"/>
      <c r="LAM18" s="231"/>
      <c r="LAN18" s="232"/>
      <c r="LAO18" s="233"/>
      <c r="LAP18" s="233"/>
      <c r="LAQ18" s="233"/>
      <c r="LAR18" s="233"/>
      <c r="LAS18" s="233"/>
      <c r="LAT18" s="233"/>
      <c r="LAU18" s="231"/>
      <c r="LAV18" s="231"/>
      <c r="LAW18" s="229"/>
      <c r="LAX18" s="230"/>
      <c r="LAY18" s="231"/>
      <c r="LAZ18" s="232"/>
      <c r="LBA18" s="233"/>
      <c r="LBB18" s="233"/>
      <c r="LBC18" s="233"/>
      <c r="LBD18" s="233"/>
      <c r="LBE18" s="233"/>
      <c r="LBF18" s="233"/>
      <c r="LBG18" s="231"/>
      <c r="LBH18" s="231"/>
      <c r="LBI18" s="229"/>
      <c r="LBJ18" s="230"/>
      <c r="LBK18" s="231"/>
      <c r="LBL18" s="232"/>
      <c r="LBM18" s="233"/>
      <c r="LBN18" s="233"/>
      <c r="LBO18" s="233"/>
      <c r="LBP18" s="233"/>
      <c r="LBQ18" s="233"/>
      <c r="LBR18" s="233"/>
      <c r="LBS18" s="231"/>
      <c r="LBT18" s="231"/>
      <c r="LBU18" s="229"/>
      <c r="LBV18" s="230"/>
      <c r="LBW18" s="231"/>
      <c r="LBX18" s="232"/>
      <c r="LBY18" s="233"/>
      <c r="LBZ18" s="233"/>
      <c r="LCA18" s="233"/>
      <c r="LCB18" s="233"/>
      <c r="LCC18" s="233"/>
      <c r="LCD18" s="233"/>
      <c r="LCE18" s="231"/>
      <c r="LCF18" s="231"/>
      <c r="LCG18" s="229"/>
      <c r="LCH18" s="230"/>
      <c r="LCI18" s="231"/>
      <c r="LCJ18" s="232"/>
      <c r="LCK18" s="233"/>
      <c r="LCL18" s="233"/>
      <c r="LCM18" s="233"/>
      <c r="LCN18" s="233"/>
      <c r="LCO18" s="233"/>
      <c r="LCP18" s="233"/>
      <c r="LCQ18" s="231"/>
      <c r="LCR18" s="231"/>
      <c r="LCS18" s="229"/>
      <c r="LCT18" s="230"/>
      <c r="LCU18" s="231"/>
      <c r="LCV18" s="232"/>
      <c r="LCW18" s="233"/>
      <c r="LCX18" s="233"/>
      <c r="LCY18" s="233"/>
      <c r="LCZ18" s="233"/>
      <c r="LDA18" s="233"/>
      <c r="LDB18" s="233"/>
      <c r="LDC18" s="231"/>
      <c r="LDD18" s="231"/>
      <c r="LDE18" s="229"/>
      <c r="LDF18" s="230"/>
      <c r="LDG18" s="231"/>
      <c r="LDH18" s="232"/>
      <c r="LDI18" s="233"/>
      <c r="LDJ18" s="233"/>
      <c r="LDK18" s="233"/>
      <c r="LDL18" s="233"/>
      <c r="LDM18" s="233"/>
      <c r="LDN18" s="233"/>
      <c r="LDO18" s="231"/>
      <c r="LDP18" s="231"/>
      <c r="LDQ18" s="229"/>
      <c r="LDR18" s="230"/>
      <c r="LDS18" s="231"/>
      <c r="LDT18" s="232"/>
      <c r="LDU18" s="233"/>
      <c r="LDV18" s="233"/>
      <c r="LDW18" s="233"/>
      <c r="LDX18" s="233"/>
      <c r="LDY18" s="233"/>
      <c r="LDZ18" s="233"/>
      <c r="LEA18" s="231"/>
      <c r="LEB18" s="231"/>
      <c r="LEC18" s="229"/>
      <c r="LED18" s="230"/>
      <c r="LEE18" s="231"/>
      <c r="LEF18" s="232"/>
      <c r="LEG18" s="233"/>
      <c r="LEH18" s="233"/>
      <c r="LEI18" s="233"/>
      <c r="LEJ18" s="233"/>
      <c r="LEK18" s="233"/>
      <c r="LEL18" s="233"/>
      <c r="LEM18" s="231"/>
      <c r="LEN18" s="231"/>
      <c r="LEO18" s="229"/>
      <c r="LEP18" s="230"/>
      <c r="LEQ18" s="231"/>
      <c r="LER18" s="232"/>
      <c r="LES18" s="233"/>
      <c r="LET18" s="233"/>
      <c r="LEU18" s="233"/>
      <c r="LEV18" s="233"/>
      <c r="LEW18" s="233"/>
      <c r="LEX18" s="233"/>
      <c r="LEY18" s="231"/>
      <c r="LEZ18" s="231"/>
      <c r="LFA18" s="229"/>
      <c r="LFB18" s="230"/>
      <c r="LFC18" s="231"/>
      <c r="LFD18" s="232"/>
      <c r="LFE18" s="233"/>
      <c r="LFF18" s="233"/>
      <c r="LFG18" s="233"/>
      <c r="LFH18" s="233"/>
      <c r="LFI18" s="233"/>
      <c r="LFJ18" s="233"/>
      <c r="LFK18" s="231"/>
      <c r="LFL18" s="231"/>
      <c r="LFM18" s="229"/>
      <c r="LFN18" s="230"/>
      <c r="LFO18" s="231"/>
      <c r="LFP18" s="232"/>
      <c r="LFQ18" s="233"/>
      <c r="LFR18" s="233"/>
      <c r="LFS18" s="233"/>
      <c r="LFT18" s="233"/>
      <c r="LFU18" s="233"/>
      <c r="LFV18" s="233"/>
      <c r="LFW18" s="231"/>
      <c r="LFX18" s="231"/>
      <c r="LFY18" s="229"/>
      <c r="LFZ18" s="230"/>
      <c r="LGA18" s="231"/>
      <c r="LGB18" s="232"/>
      <c r="LGC18" s="233"/>
      <c r="LGD18" s="233"/>
      <c r="LGE18" s="233"/>
      <c r="LGF18" s="233"/>
      <c r="LGG18" s="233"/>
      <c r="LGH18" s="233"/>
      <c r="LGI18" s="231"/>
      <c r="LGJ18" s="231"/>
      <c r="LGK18" s="229"/>
      <c r="LGL18" s="230"/>
      <c r="LGM18" s="231"/>
      <c r="LGN18" s="232"/>
      <c r="LGO18" s="233"/>
      <c r="LGP18" s="233"/>
      <c r="LGQ18" s="233"/>
      <c r="LGR18" s="233"/>
      <c r="LGS18" s="233"/>
      <c r="LGT18" s="233"/>
      <c r="LGU18" s="231"/>
      <c r="LGV18" s="231"/>
      <c r="LGW18" s="229"/>
      <c r="LGX18" s="230"/>
      <c r="LGY18" s="231"/>
      <c r="LGZ18" s="232"/>
      <c r="LHA18" s="233"/>
      <c r="LHB18" s="233"/>
      <c r="LHC18" s="233"/>
      <c r="LHD18" s="233"/>
      <c r="LHE18" s="233"/>
      <c r="LHF18" s="233"/>
      <c r="LHG18" s="231"/>
      <c r="LHH18" s="231"/>
      <c r="LHI18" s="229"/>
      <c r="LHJ18" s="230"/>
      <c r="LHK18" s="231"/>
      <c r="LHL18" s="232"/>
      <c r="LHM18" s="233"/>
      <c r="LHN18" s="233"/>
      <c r="LHO18" s="233"/>
      <c r="LHP18" s="233"/>
      <c r="LHQ18" s="233"/>
      <c r="LHR18" s="233"/>
      <c r="LHS18" s="231"/>
      <c r="LHT18" s="231"/>
      <c r="LHU18" s="229"/>
      <c r="LHV18" s="230"/>
      <c r="LHW18" s="231"/>
      <c r="LHX18" s="232"/>
      <c r="LHY18" s="233"/>
      <c r="LHZ18" s="233"/>
      <c r="LIA18" s="233"/>
      <c r="LIB18" s="233"/>
      <c r="LIC18" s="233"/>
      <c r="LID18" s="233"/>
      <c r="LIE18" s="231"/>
      <c r="LIF18" s="231"/>
      <c r="LIG18" s="229"/>
      <c r="LIH18" s="230"/>
      <c r="LII18" s="231"/>
      <c r="LIJ18" s="232"/>
      <c r="LIK18" s="233"/>
      <c r="LIL18" s="233"/>
      <c r="LIM18" s="233"/>
      <c r="LIN18" s="233"/>
      <c r="LIO18" s="233"/>
      <c r="LIP18" s="233"/>
      <c r="LIQ18" s="231"/>
      <c r="LIR18" s="231"/>
      <c r="LIS18" s="229"/>
      <c r="LIT18" s="230"/>
      <c r="LIU18" s="231"/>
      <c r="LIV18" s="232"/>
      <c r="LIW18" s="233"/>
      <c r="LIX18" s="233"/>
      <c r="LIY18" s="233"/>
      <c r="LIZ18" s="233"/>
      <c r="LJA18" s="233"/>
      <c r="LJB18" s="233"/>
      <c r="LJC18" s="231"/>
      <c r="LJD18" s="231"/>
      <c r="LJE18" s="229"/>
      <c r="LJF18" s="230"/>
      <c r="LJG18" s="231"/>
      <c r="LJH18" s="232"/>
      <c r="LJI18" s="233"/>
      <c r="LJJ18" s="233"/>
      <c r="LJK18" s="233"/>
      <c r="LJL18" s="233"/>
      <c r="LJM18" s="233"/>
      <c r="LJN18" s="233"/>
      <c r="LJO18" s="231"/>
      <c r="LJP18" s="231"/>
      <c r="LJQ18" s="229"/>
      <c r="LJR18" s="230"/>
      <c r="LJS18" s="231"/>
      <c r="LJT18" s="232"/>
      <c r="LJU18" s="233"/>
      <c r="LJV18" s="233"/>
      <c r="LJW18" s="233"/>
      <c r="LJX18" s="233"/>
      <c r="LJY18" s="233"/>
      <c r="LJZ18" s="233"/>
      <c r="LKA18" s="231"/>
      <c r="LKB18" s="231"/>
      <c r="LKC18" s="229"/>
      <c r="LKD18" s="230"/>
      <c r="LKE18" s="231"/>
      <c r="LKF18" s="232"/>
      <c r="LKG18" s="233"/>
      <c r="LKH18" s="233"/>
      <c r="LKI18" s="233"/>
      <c r="LKJ18" s="233"/>
      <c r="LKK18" s="233"/>
      <c r="LKL18" s="233"/>
      <c r="LKM18" s="231"/>
      <c r="LKN18" s="231"/>
      <c r="LKO18" s="229"/>
      <c r="LKP18" s="230"/>
      <c r="LKQ18" s="231"/>
      <c r="LKR18" s="232"/>
      <c r="LKS18" s="233"/>
      <c r="LKT18" s="233"/>
      <c r="LKU18" s="233"/>
      <c r="LKV18" s="233"/>
      <c r="LKW18" s="233"/>
      <c r="LKX18" s="233"/>
      <c r="LKY18" s="231"/>
      <c r="LKZ18" s="231"/>
      <c r="LLA18" s="229"/>
      <c r="LLB18" s="230"/>
      <c r="LLC18" s="231"/>
      <c r="LLD18" s="232"/>
      <c r="LLE18" s="233"/>
      <c r="LLF18" s="233"/>
      <c r="LLG18" s="233"/>
      <c r="LLH18" s="233"/>
      <c r="LLI18" s="233"/>
      <c r="LLJ18" s="233"/>
      <c r="LLK18" s="231"/>
      <c r="LLL18" s="231"/>
      <c r="LLM18" s="229"/>
      <c r="LLN18" s="230"/>
      <c r="LLO18" s="231"/>
      <c r="LLP18" s="232"/>
      <c r="LLQ18" s="233"/>
      <c r="LLR18" s="233"/>
      <c r="LLS18" s="233"/>
      <c r="LLT18" s="233"/>
      <c r="LLU18" s="233"/>
      <c r="LLV18" s="233"/>
      <c r="LLW18" s="231"/>
      <c r="LLX18" s="231"/>
      <c r="LLY18" s="229"/>
      <c r="LLZ18" s="230"/>
      <c r="LMA18" s="231"/>
      <c r="LMB18" s="232"/>
      <c r="LMC18" s="233"/>
      <c r="LMD18" s="233"/>
      <c r="LME18" s="233"/>
      <c r="LMF18" s="233"/>
      <c r="LMG18" s="233"/>
      <c r="LMH18" s="233"/>
      <c r="LMI18" s="231"/>
      <c r="LMJ18" s="231"/>
      <c r="LMK18" s="229"/>
      <c r="LML18" s="230"/>
      <c r="LMM18" s="231"/>
      <c r="LMN18" s="232"/>
      <c r="LMO18" s="233"/>
      <c r="LMP18" s="233"/>
      <c r="LMQ18" s="233"/>
      <c r="LMR18" s="233"/>
      <c r="LMS18" s="233"/>
      <c r="LMT18" s="233"/>
      <c r="LMU18" s="231"/>
      <c r="LMV18" s="231"/>
      <c r="LMW18" s="229"/>
      <c r="LMX18" s="230"/>
      <c r="LMY18" s="231"/>
      <c r="LMZ18" s="232"/>
      <c r="LNA18" s="233"/>
      <c r="LNB18" s="233"/>
      <c r="LNC18" s="233"/>
      <c r="LND18" s="233"/>
      <c r="LNE18" s="233"/>
      <c r="LNF18" s="233"/>
      <c r="LNG18" s="231"/>
      <c r="LNH18" s="231"/>
      <c r="LNI18" s="229"/>
      <c r="LNJ18" s="230"/>
      <c r="LNK18" s="231"/>
      <c r="LNL18" s="232"/>
      <c r="LNM18" s="233"/>
      <c r="LNN18" s="233"/>
      <c r="LNO18" s="233"/>
      <c r="LNP18" s="233"/>
      <c r="LNQ18" s="233"/>
      <c r="LNR18" s="233"/>
      <c r="LNS18" s="231"/>
      <c r="LNT18" s="231"/>
      <c r="LNU18" s="229"/>
      <c r="LNV18" s="230"/>
      <c r="LNW18" s="231"/>
      <c r="LNX18" s="232"/>
      <c r="LNY18" s="233"/>
      <c r="LNZ18" s="233"/>
      <c r="LOA18" s="233"/>
      <c r="LOB18" s="233"/>
      <c r="LOC18" s="233"/>
      <c r="LOD18" s="233"/>
      <c r="LOE18" s="231"/>
      <c r="LOF18" s="231"/>
      <c r="LOG18" s="229"/>
      <c r="LOH18" s="230"/>
      <c r="LOI18" s="231"/>
      <c r="LOJ18" s="232"/>
      <c r="LOK18" s="233"/>
      <c r="LOL18" s="233"/>
      <c r="LOM18" s="233"/>
      <c r="LON18" s="233"/>
      <c r="LOO18" s="233"/>
      <c r="LOP18" s="233"/>
      <c r="LOQ18" s="231"/>
      <c r="LOR18" s="231"/>
      <c r="LOS18" s="229"/>
      <c r="LOT18" s="230"/>
      <c r="LOU18" s="231"/>
      <c r="LOV18" s="232"/>
      <c r="LOW18" s="233"/>
      <c r="LOX18" s="233"/>
      <c r="LOY18" s="233"/>
      <c r="LOZ18" s="233"/>
      <c r="LPA18" s="233"/>
      <c r="LPB18" s="233"/>
      <c r="LPC18" s="231"/>
      <c r="LPD18" s="231"/>
      <c r="LPE18" s="229"/>
      <c r="LPF18" s="230"/>
      <c r="LPG18" s="231"/>
      <c r="LPH18" s="232"/>
      <c r="LPI18" s="233"/>
      <c r="LPJ18" s="233"/>
      <c r="LPK18" s="233"/>
      <c r="LPL18" s="233"/>
      <c r="LPM18" s="233"/>
      <c r="LPN18" s="233"/>
      <c r="LPO18" s="231"/>
      <c r="LPP18" s="231"/>
      <c r="LPQ18" s="229"/>
      <c r="LPR18" s="230"/>
      <c r="LPS18" s="231"/>
      <c r="LPT18" s="232"/>
      <c r="LPU18" s="233"/>
      <c r="LPV18" s="233"/>
      <c r="LPW18" s="233"/>
      <c r="LPX18" s="233"/>
      <c r="LPY18" s="233"/>
      <c r="LPZ18" s="233"/>
      <c r="LQA18" s="231"/>
      <c r="LQB18" s="231"/>
      <c r="LQC18" s="229"/>
      <c r="LQD18" s="230"/>
      <c r="LQE18" s="231"/>
      <c r="LQF18" s="232"/>
      <c r="LQG18" s="233"/>
      <c r="LQH18" s="233"/>
      <c r="LQI18" s="233"/>
      <c r="LQJ18" s="233"/>
      <c r="LQK18" s="233"/>
      <c r="LQL18" s="233"/>
      <c r="LQM18" s="231"/>
      <c r="LQN18" s="231"/>
      <c r="LQO18" s="229"/>
      <c r="LQP18" s="230"/>
      <c r="LQQ18" s="231"/>
      <c r="LQR18" s="232"/>
      <c r="LQS18" s="233"/>
      <c r="LQT18" s="233"/>
      <c r="LQU18" s="233"/>
      <c r="LQV18" s="233"/>
      <c r="LQW18" s="233"/>
      <c r="LQX18" s="233"/>
      <c r="LQY18" s="231"/>
      <c r="LQZ18" s="231"/>
      <c r="LRA18" s="229"/>
      <c r="LRB18" s="230"/>
      <c r="LRC18" s="231"/>
      <c r="LRD18" s="232"/>
      <c r="LRE18" s="233"/>
      <c r="LRF18" s="233"/>
      <c r="LRG18" s="233"/>
      <c r="LRH18" s="233"/>
      <c r="LRI18" s="233"/>
      <c r="LRJ18" s="233"/>
      <c r="LRK18" s="231"/>
      <c r="LRL18" s="231"/>
      <c r="LRM18" s="229"/>
      <c r="LRN18" s="230"/>
      <c r="LRO18" s="231"/>
      <c r="LRP18" s="232"/>
      <c r="LRQ18" s="233"/>
      <c r="LRR18" s="233"/>
      <c r="LRS18" s="233"/>
      <c r="LRT18" s="233"/>
      <c r="LRU18" s="233"/>
      <c r="LRV18" s="233"/>
      <c r="LRW18" s="231"/>
      <c r="LRX18" s="231"/>
      <c r="LRY18" s="229"/>
      <c r="LRZ18" s="230"/>
      <c r="LSA18" s="231"/>
      <c r="LSB18" s="232"/>
      <c r="LSC18" s="233"/>
      <c r="LSD18" s="233"/>
      <c r="LSE18" s="233"/>
      <c r="LSF18" s="233"/>
      <c r="LSG18" s="233"/>
      <c r="LSH18" s="233"/>
      <c r="LSI18" s="231"/>
      <c r="LSJ18" s="231"/>
      <c r="LSK18" s="229"/>
      <c r="LSL18" s="230"/>
      <c r="LSM18" s="231"/>
      <c r="LSN18" s="232"/>
      <c r="LSO18" s="233"/>
      <c r="LSP18" s="233"/>
      <c r="LSQ18" s="233"/>
      <c r="LSR18" s="233"/>
      <c r="LSS18" s="233"/>
      <c r="LST18" s="233"/>
      <c r="LSU18" s="231"/>
      <c r="LSV18" s="231"/>
      <c r="LSW18" s="229"/>
      <c r="LSX18" s="230"/>
      <c r="LSY18" s="231"/>
      <c r="LSZ18" s="232"/>
      <c r="LTA18" s="233"/>
      <c r="LTB18" s="233"/>
      <c r="LTC18" s="233"/>
      <c r="LTD18" s="233"/>
      <c r="LTE18" s="233"/>
      <c r="LTF18" s="233"/>
      <c r="LTG18" s="231"/>
      <c r="LTH18" s="231"/>
      <c r="LTI18" s="229"/>
      <c r="LTJ18" s="230"/>
      <c r="LTK18" s="231"/>
      <c r="LTL18" s="232"/>
      <c r="LTM18" s="233"/>
      <c r="LTN18" s="233"/>
      <c r="LTO18" s="233"/>
      <c r="LTP18" s="233"/>
      <c r="LTQ18" s="233"/>
      <c r="LTR18" s="233"/>
      <c r="LTS18" s="231"/>
      <c r="LTT18" s="231"/>
      <c r="LTU18" s="229"/>
      <c r="LTV18" s="230"/>
      <c r="LTW18" s="231"/>
      <c r="LTX18" s="232"/>
      <c r="LTY18" s="233"/>
      <c r="LTZ18" s="233"/>
      <c r="LUA18" s="233"/>
      <c r="LUB18" s="233"/>
      <c r="LUC18" s="233"/>
      <c r="LUD18" s="233"/>
      <c r="LUE18" s="231"/>
      <c r="LUF18" s="231"/>
      <c r="LUG18" s="229"/>
      <c r="LUH18" s="230"/>
      <c r="LUI18" s="231"/>
      <c r="LUJ18" s="232"/>
      <c r="LUK18" s="233"/>
      <c r="LUL18" s="233"/>
      <c r="LUM18" s="233"/>
      <c r="LUN18" s="233"/>
      <c r="LUO18" s="233"/>
      <c r="LUP18" s="233"/>
      <c r="LUQ18" s="231"/>
      <c r="LUR18" s="231"/>
      <c r="LUS18" s="229"/>
      <c r="LUT18" s="230"/>
      <c r="LUU18" s="231"/>
      <c r="LUV18" s="232"/>
      <c r="LUW18" s="233"/>
      <c r="LUX18" s="233"/>
      <c r="LUY18" s="233"/>
      <c r="LUZ18" s="233"/>
      <c r="LVA18" s="233"/>
      <c r="LVB18" s="233"/>
      <c r="LVC18" s="231"/>
      <c r="LVD18" s="231"/>
      <c r="LVE18" s="229"/>
      <c r="LVF18" s="230"/>
      <c r="LVG18" s="231"/>
      <c r="LVH18" s="232"/>
      <c r="LVI18" s="233"/>
      <c r="LVJ18" s="233"/>
      <c r="LVK18" s="233"/>
      <c r="LVL18" s="233"/>
      <c r="LVM18" s="233"/>
      <c r="LVN18" s="233"/>
      <c r="LVO18" s="231"/>
      <c r="LVP18" s="231"/>
      <c r="LVQ18" s="229"/>
      <c r="LVR18" s="230"/>
      <c r="LVS18" s="231"/>
      <c r="LVT18" s="232"/>
      <c r="LVU18" s="233"/>
      <c r="LVV18" s="233"/>
      <c r="LVW18" s="233"/>
      <c r="LVX18" s="233"/>
      <c r="LVY18" s="233"/>
      <c r="LVZ18" s="233"/>
      <c r="LWA18" s="231"/>
      <c r="LWB18" s="231"/>
      <c r="LWC18" s="229"/>
      <c r="LWD18" s="230"/>
      <c r="LWE18" s="231"/>
      <c r="LWF18" s="232"/>
      <c r="LWG18" s="233"/>
      <c r="LWH18" s="233"/>
      <c r="LWI18" s="233"/>
      <c r="LWJ18" s="233"/>
      <c r="LWK18" s="233"/>
      <c r="LWL18" s="233"/>
      <c r="LWM18" s="231"/>
      <c r="LWN18" s="231"/>
      <c r="LWO18" s="229"/>
      <c r="LWP18" s="230"/>
      <c r="LWQ18" s="231"/>
      <c r="LWR18" s="232"/>
      <c r="LWS18" s="233"/>
      <c r="LWT18" s="233"/>
      <c r="LWU18" s="233"/>
      <c r="LWV18" s="233"/>
      <c r="LWW18" s="233"/>
      <c r="LWX18" s="233"/>
      <c r="LWY18" s="231"/>
      <c r="LWZ18" s="231"/>
      <c r="LXA18" s="229"/>
      <c r="LXB18" s="230"/>
      <c r="LXC18" s="231"/>
      <c r="LXD18" s="232"/>
      <c r="LXE18" s="233"/>
      <c r="LXF18" s="233"/>
      <c r="LXG18" s="233"/>
      <c r="LXH18" s="233"/>
      <c r="LXI18" s="233"/>
      <c r="LXJ18" s="233"/>
      <c r="LXK18" s="231"/>
      <c r="LXL18" s="231"/>
      <c r="LXM18" s="229"/>
      <c r="LXN18" s="230"/>
      <c r="LXO18" s="231"/>
      <c r="LXP18" s="232"/>
      <c r="LXQ18" s="233"/>
      <c r="LXR18" s="233"/>
      <c r="LXS18" s="233"/>
      <c r="LXT18" s="233"/>
      <c r="LXU18" s="233"/>
      <c r="LXV18" s="233"/>
      <c r="LXW18" s="231"/>
      <c r="LXX18" s="231"/>
      <c r="LXY18" s="229"/>
      <c r="LXZ18" s="230"/>
      <c r="LYA18" s="231"/>
      <c r="LYB18" s="232"/>
      <c r="LYC18" s="233"/>
      <c r="LYD18" s="233"/>
      <c r="LYE18" s="233"/>
      <c r="LYF18" s="233"/>
      <c r="LYG18" s="233"/>
      <c r="LYH18" s="233"/>
      <c r="LYI18" s="231"/>
      <c r="LYJ18" s="231"/>
      <c r="LYK18" s="229"/>
      <c r="LYL18" s="230"/>
      <c r="LYM18" s="231"/>
      <c r="LYN18" s="232"/>
      <c r="LYO18" s="233"/>
      <c r="LYP18" s="233"/>
      <c r="LYQ18" s="233"/>
      <c r="LYR18" s="233"/>
      <c r="LYS18" s="233"/>
      <c r="LYT18" s="233"/>
      <c r="LYU18" s="231"/>
      <c r="LYV18" s="231"/>
      <c r="LYW18" s="229"/>
      <c r="LYX18" s="230"/>
      <c r="LYY18" s="231"/>
      <c r="LYZ18" s="232"/>
      <c r="LZA18" s="233"/>
      <c r="LZB18" s="233"/>
      <c r="LZC18" s="233"/>
      <c r="LZD18" s="233"/>
      <c r="LZE18" s="233"/>
      <c r="LZF18" s="233"/>
      <c r="LZG18" s="231"/>
      <c r="LZH18" s="231"/>
      <c r="LZI18" s="229"/>
      <c r="LZJ18" s="230"/>
      <c r="LZK18" s="231"/>
      <c r="LZL18" s="232"/>
      <c r="LZM18" s="233"/>
      <c r="LZN18" s="233"/>
      <c r="LZO18" s="233"/>
      <c r="LZP18" s="233"/>
      <c r="LZQ18" s="233"/>
      <c r="LZR18" s="233"/>
      <c r="LZS18" s="231"/>
      <c r="LZT18" s="231"/>
      <c r="LZU18" s="229"/>
      <c r="LZV18" s="230"/>
      <c r="LZW18" s="231"/>
      <c r="LZX18" s="232"/>
      <c r="LZY18" s="233"/>
      <c r="LZZ18" s="233"/>
      <c r="MAA18" s="233"/>
      <c r="MAB18" s="233"/>
      <c r="MAC18" s="233"/>
      <c r="MAD18" s="233"/>
      <c r="MAE18" s="231"/>
      <c r="MAF18" s="231"/>
      <c r="MAG18" s="229"/>
      <c r="MAH18" s="230"/>
      <c r="MAI18" s="231"/>
      <c r="MAJ18" s="232"/>
      <c r="MAK18" s="233"/>
      <c r="MAL18" s="233"/>
      <c r="MAM18" s="233"/>
      <c r="MAN18" s="233"/>
      <c r="MAO18" s="233"/>
      <c r="MAP18" s="233"/>
      <c r="MAQ18" s="231"/>
      <c r="MAR18" s="231"/>
      <c r="MAS18" s="229"/>
      <c r="MAT18" s="230"/>
      <c r="MAU18" s="231"/>
      <c r="MAV18" s="232"/>
      <c r="MAW18" s="233"/>
      <c r="MAX18" s="233"/>
      <c r="MAY18" s="233"/>
      <c r="MAZ18" s="233"/>
      <c r="MBA18" s="233"/>
      <c r="MBB18" s="233"/>
      <c r="MBC18" s="231"/>
      <c r="MBD18" s="231"/>
      <c r="MBE18" s="229"/>
      <c r="MBF18" s="230"/>
      <c r="MBG18" s="231"/>
      <c r="MBH18" s="232"/>
      <c r="MBI18" s="233"/>
      <c r="MBJ18" s="233"/>
      <c r="MBK18" s="233"/>
      <c r="MBL18" s="233"/>
      <c r="MBM18" s="233"/>
      <c r="MBN18" s="233"/>
      <c r="MBO18" s="231"/>
      <c r="MBP18" s="231"/>
      <c r="MBQ18" s="229"/>
      <c r="MBR18" s="230"/>
      <c r="MBS18" s="231"/>
      <c r="MBT18" s="232"/>
      <c r="MBU18" s="233"/>
      <c r="MBV18" s="233"/>
      <c r="MBW18" s="233"/>
      <c r="MBX18" s="233"/>
      <c r="MBY18" s="233"/>
      <c r="MBZ18" s="233"/>
      <c r="MCA18" s="231"/>
      <c r="MCB18" s="231"/>
      <c r="MCC18" s="229"/>
      <c r="MCD18" s="230"/>
      <c r="MCE18" s="231"/>
      <c r="MCF18" s="232"/>
      <c r="MCG18" s="233"/>
      <c r="MCH18" s="233"/>
      <c r="MCI18" s="233"/>
      <c r="MCJ18" s="233"/>
      <c r="MCK18" s="233"/>
      <c r="MCL18" s="233"/>
      <c r="MCM18" s="231"/>
      <c r="MCN18" s="231"/>
      <c r="MCO18" s="229"/>
      <c r="MCP18" s="230"/>
      <c r="MCQ18" s="231"/>
      <c r="MCR18" s="232"/>
      <c r="MCS18" s="233"/>
      <c r="MCT18" s="233"/>
      <c r="MCU18" s="233"/>
      <c r="MCV18" s="233"/>
      <c r="MCW18" s="233"/>
      <c r="MCX18" s="233"/>
      <c r="MCY18" s="231"/>
      <c r="MCZ18" s="231"/>
      <c r="MDA18" s="229"/>
      <c r="MDB18" s="230"/>
      <c r="MDC18" s="231"/>
      <c r="MDD18" s="232"/>
      <c r="MDE18" s="233"/>
      <c r="MDF18" s="233"/>
      <c r="MDG18" s="233"/>
      <c r="MDH18" s="233"/>
      <c r="MDI18" s="233"/>
      <c r="MDJ18" s="233"/>
      <c r="MDK18" s="231"/>
      <c r="MDL18" s="231"/>
      <c r="MDM18" s="229"/>
      <c r="MDN18" s="230"/>
      <c r="MDO18" s="231"/>
      <c r="MDP18" s="232"/>
      <c r="MDQ18" s="233"/>
      <c r="MDR18" s="233"/>
      <c r="MDS18" s="233"/>
      <c r="MDT18" s="233"/>
      <c r="MDU18" s="233"/>
      <c r="MDV18" s="233"/>
      <c r="MDW18" s="231"/>
      <c r="MDX18" s="231"/>
      <c r="MDY18" s="229"/>
      <c r="MDZ18" s="230"/>
      <c r="MEA18" s="231"/>
      <c r="MEB18" s="232"/>
      <c r="MEC18" s="233"/>
      <c r="MED18" s="233"/>
      <c r="MEE18" s="233"/>
      <c r="MEF18" s="233"/>
      <c r="MEG18" s="233"/>
      <c r="MEH18" s="233"/>
      <c r="MEI18" s="231"/>
      <c r="MEJ18" s="231"/>
      <c r="MEK18" s="229"/>
      <c r="MEL18" s="230"/>
      <c r="MEM18" s="231"/>
      <c r="MEN18" s="232"/>
      <c r="MEO18" s="233"/>
      <c r="MEP18" s="233"/>
      <c r="MEQ18" s="233"/>
      <c r="MER18" s="233"/>
      <c r="MES18" s="233"/>
      <c r="MET18" s="233"/>
      <c r="MEU18" s="231"/>
      <c r="MEV18" s="231"/>
      <c r="MEW18" s="229"/>
      <c r="MEX18" s="230"/>
      <c r="MEY18" s="231"/>
      <c r="MEZ18" s="232"/>
      <c r="MFA18" s="233"/>
      <c r="MFB18" s="233"/>
      <c r="MFC18" s="233"/>
      <c r="MFD18" s="233"/>
      <c r="MFE18" s="233"/>
      <c r="MFF18" s="233"/>
      <c r="MFG18" s="231"/>
      <c r="MFH18" s="231"/>
      <c r="MFI18" s="229"/>
      <c r="MFJ18" s="230"/>
      <c r="MFK18" s="231"/>
      <c r="MFL18" s="232"/>
      <c r="MFM18" s="233"/>
      <c r="MFN18" s="233"/>
      <c r="MFO18" s="233"/>
      <c r="MFP18" s="233"/>
      <c r="MFQ18" s="233"/>
      <c r="MFR18" s="233"/>
      <c r="MFS18" s="231"/>
      <c r="MFT18" s="231"/>
      <c r="MFU18" s="229"/>
      <c r="MFV18" s="230"/>
      <c r="MFW18" s="231"/>
      <c r="MFX18" s="232"/>
      <c r="MFY18" s="233"/>
      <c r="MFZ18" s="233"/>
      <c r="MGA18" s="233"/>
      <c r="MGB18" s="233"/>
      <c r="MGC18" s="233"/>
      <c r="MGD18" s="233"/>
      <c r="MGE18" s="231"/>
      <c r="MGF18" s="231"/>
      <c r="MGG18" s="229"/>
      <c r="MGH18" s="230"/>
      <c r="MGI18" s="231"/>
      <c r="MGJ18" s="232"/>
      <c r="MGK18" s="233"/>
      <c r="MGL18" s="233"/>
      <c r="MGM18" s="233"/>
      <c r="MGN18" s="233"/>
      <c r="MGO18" s="233"/>
      <c r="MGP18" s="233"/>
      <c r="MGQ18" s="231"/>
      <c r="MGR18" s="231"/>
      <c r="MGS18" s="229"/>
      <c r="MGT18" s="230"/>
      <c r="MGU18" s="231"/>
      <c r="MGV18" s="232"/>
      <c r="MGW18" s="233"/>
      <c r="MGX18" s="233"/>
      <c r="MGY18" s="233"/>
      <c r="MGZ18" s="233"/>
      <c r="MHA18" s="233"/>
      <c r="MHB18" s="233"/>
      <c r="MHC18" s="231"/>
      <c r="MHD18" s="231"/>
      <c r="MHE18" s="229"/>
      <c r="MHF18" s="230"/>
      <c r="MHG18" s="231"/>
      <c r="MHH18" s="232"/>
      <c r="MHI18" s="233"/>
      <c r="MHJ18" s="233"/>
      <c r="MHK18" s="233"/>
      <c r="MHL18" s="233"/>
      <c r="MHM18" s="233"/>
      <c r="MHN18" s="233"/>
      <c r="MHO18" s="231"/>
      <c r="MHP18" s="231"/>
      <c r="MHQ18" s="229"/>
      <c r="MHR18" s="230"/>
      <c r="MHS18" s="231"/>
      <c r="MHT18" s="232"/>
      <c r="MHU18" s="233"/>
      <c r="MHV18" s="233"/>
      <c r="MHW18" s="233"/>
      <c r="MHX18" s="233"/>
      <c r="MHY18" s="233"/>
      <c r="MHZ18" s="233"/>
      <c r="MIA18" s="231"/>
      <c r="MIB18" s="231"/>
      <c r="MIC18" s="229"/>
      <c r="MID18" s="230"/>
      <c r="MIE18" s="231"/>
      <c r="MIF18" s="232"/>
      <c r="MIG18" s="233"/>
      <c r="MIH18" s="233"/>
      <c r="MII18" s="233"/>
      <c r="MIJ18" s="233"/>
      <c r="MIK18" s="233"/>
      <c r="MIL18" s="233"/>
      <c r="MIM18" s="231"/>
      <c r="MIN18" s="231"/>
      <c r="MIO18" s="229"/>
      <c r="MIP18" s="230"/>
      <c r="MIQ18" s="231"/>
      <c r="MIR18" s="232"/>
      <c r="MIS18" s="233"/>
      <c r="MIT18" s="233"/>
      <c r="MIU18" s="233"/>
      <c r="MIV18" s="233"/>
      <c r="MIW18" s="233"/>
      <c r="MIX18" s="233"/>
      <c r="MIY18" s="231"/>
      <c r="MIZ18" s="231"/>
      <c r="MJA18" s="229"/>
      <c r="MJB18" s="230"/>
      <c r="MJC18" s="231"/>
      <c r="MJD18" s="232"/>
      <c r="MJE18" s="233"/>
      <c r="MJF18" s="233"/>
      <c r="MJG18" s="233"/>
      <c r="MJH18" s="233"/>
      <c r="MJI18" s="233"/>
      <c r="MJJ18" s="233"/>
      <c r="MJK18" s="231"/>
      <c r="MJL18" s="231"/>
      <c r="MJM18" s="229"/>
      <c r="MJN18" s="230"/>
      <c r="MJO18" s="231"/>
      <c r="MJP18" s="232"/>
      <c r="MJQ18" s="233"/>
      <c r="MJR18" s="233"/>
      <c r="MJS18" s="233"/>
      <c r="MJT18" s="233"/>
      <c r="MJU18" s="233"/>
      <c r="MJV18" s="233"/>
      <c r="MJW18" s="231"/>
      <c r="MJX18" s="231"/>
      <c r="MJY18" s="229"/>
      <c r="MJZ18" s="230"/>
      <c r="MKA18" s="231"/>
      <c r="MKB18" s="232"/>
      <c r="MKC18" s="233"/>
      <c r="MKD18" s="233"/>
      <c r="MKE18" s="233"/>
      <c r="MKF18" s="233"/>
      <c r="MKG18" s="233"/>
      <c r="MKH18" s="233"/>
      <c r="MKI18" s="231"/>
      <c r="MKJ18" s="231"/>
      <c r="MKK18" s="229"/>
      <c r="MKL18" s="230"/>
      <c r="MKM18" s="231"/>
      <c r="MKN18" s="232"/>
      <c r="MKO18" s="233"/>
      <c r="MKP18" s="233"/>
      <c r="MKQ18" s="233"/>
      <c r="MKR18" s="233"/>
      <c r="MKS18" s="233"/>
      <c r="MKT18" s="233"/>
      <c r="MKU18" s="231"/>
      <c r="MKV18" s="231"/>
      <c r="MKW18" s="229"/>
      <c r="MKX18" s="230"/>
      <c r="MKY18" s="231"/>
      <c r="MKZ18" s="232"/>
      <c r="MLA18" s="233"/>
      <c r="MLB18" s="233"/>
      <c r="MLC18" s="233"/>
      <c r="MLD18" s="233"/>
      <c r="MLE18" s="233"/>
      <c r="MLF18" s="233"/>
      <c r="MLG18" s="231"/>
      <c r="MLH18" s="231"/>
      <c r="MLI18" s="229"/>
      <c r="MLJ18" s="230"/>
      <c r="MLK18" s="231"/>
      <c r="MLL18" s="232"/>
      <c r="MLM18" s="233"/>
      <c r="MLN18" s="233"/>
      <c r="MLO18" s="233"/>
      <c r="MLP18" s="233"/>
      <c r="MLQ18" s="233"/>
      <c r="MLR18" s="233"/>
      <c r="MLS18" s="231"/>
      <c r="MLT18" s="231"/>
      <c r="MLU18" s="229"/>
      <c r="MLV18" s="230"/>
      <c r="MLW18" s="231"/>
      <c r="MLX18" s="232"/>
      <c r="MLY18" s="233"/>
      <c r="MLZ18" s="233"/>
      <c r="MMA18" s="233"/>
      <c r="MMB18" s="233"/>
      <c r="MMC18" s="233"/>
      <c r="MMD18" s="233"/>
      <c r="MME18" s="231"/>
      <c r="MMF18" s="231"/>
      <c r="MMG18" s="229"/>
      <c r="MMH18" s="230"/>
      <c r="MMI18" s="231"/>
      <c r="MMJ18" s="232"/>
      <c r="MMK18" s="233"/>
      <c r="MML18" s="233"/>
      <c r="MMM18" s="233"/>
      <c r="MMN18" s="233"/>
      <c r="MMO18" s="233"/>
      <c r="MMP18" s="233"/>
      <c r="MMQ18" s="231"/>
      <c r="MMR18" s="231"/>
      <c r="MMS18" s="229"/>
      <c r="MMT18" s="230"/>
      <c r="MMU18" s="231"/>
      <c r="MMV18" s="232"/>
      <c r="MMW18" s="233"/>
      <c r="MMX18" s="233"/>
      <c r="MMY18" s="233"/>
      <c r="MMZ18" s="233"/>
      <c r="MNA18" s="233"/>
      <c r="MNB18" s="233"/>
      <c r="MNC18" s="231"/>
      <c r="MND18" s="231"/>
      <c r="MNE18" s="229"/>
      <c r="MNF18" s="230"/>
      <c r="MNG18" s="231"/>
      <c r="MNH18" s="232"/>
      <c r="MNI18" s="233"/>
      <c r="MNJ18" s="233"/>
      <c r="MNK18" s="233"/>
      <c r="MNL18" s="233"/>
      <c r="MNM18" s="233"/>
      <c r="MNN18" s="233"/>
      <c r="MNO18" s="231"/>
      <c r="MNP18" s="231"/>
      <c r="MNQ18" s="229"/>
      <c r="MNR18" s="230"/>
      <c r="MNS18" s="231"/>
      <c r="MNT18" s="232"/>
      <c r="MNU18" s="233"/>
      <c r="MNV18" s="233"/>
      <c r="MNW18" s="233"/>
      <c r="MNX18" s="233"/>
      <c r="MNY18" s="233"/>
      <c r="MNZ18" s="233"/>
      <c r="MOA18" s="231"/>
      <c r="MOB18" s="231"/>
      <c r="MOC18" s="229"/>
      <c r="MOD18" s="230"/>
      <c r="MOE18" s="231"/>
      <c r="MOF18" s="232"/>
      <c r="MOG18" s="233"/>
      <c r="MOH18" s="233"/>
      <c r="MOI18" s="233"/>
      <c r="MOJ18" s="233"/>
      <c r="MOK18" s="233"/>
      <c r="MOL18" s="233"/>
      <c r="MOM18" s="231"/>
      <c r="MON18" s="231"/>
      <c r="MOO18" s="229"/>
      <c r="MOP18" s="230"/>
      <c r="MOQ18" s="231"/>
      <c r="MOR18" s="232"/>
      <c r="MOS18" s="233"/>
      <c r="MOT18" s="233"/>
      <c r="MOU18" s="233"/>
      <c r="MOV18" s="233"/>
      <c r="MOW18" s="233"/>
      <c r="MOX18" s="233"/>
      <c r="MOY18" s="231"/>
      <c r="MOZ18" s="231"/>
      <c r="MPA18" s="229"/>
      <c r="MPB18" s="230"/>
      <c r="MPC18" s="231"/>
      <c r="MPD18" s="232"/>
      <c r="MPE18" s="233"/>
      <c r="MPF18" s="233"/>
      <c r="MPG18" s="233"/>
      <c r="MPH18" s="233"/>
      <c r="MPI18" s="233"/>
      <c r="MPJ18" s="233"/>
      <c r="MPK18" s="231"/>
      <c r="MPL18" s="231"/>
      <c r="MPM18" s="229"/>
      <c r="MPN18" s="230"/>
      <c r="MPO18" s="231"/>
      <c r="MPP18" s="232"/>
      <c r="MPQ18" s="233"/>
      <c r="MPR18" s="233"/>
      <c r="MPS18" s="233"/>
      <c r="MPT18" s="233"/>
      <c r="MPU18" s="233"/>
      <c r="MPV18" s="233"/>
      <c r="MPW18" s="231"/>
      <c r="MPX18" s="231"/>
      <c r="MPY18" s="229"/>
      <c r="MPZ18" s="230"/>
      <c r="MQA18" s="231"/>
      <c r="MQB18" s="232"/>
      <c r="MQC18" s="233"/>
      <c r="MQD18" s="233"/>
      <c r="MQE18" s="233"/>
      <c r="MQF18" s="233"/>
      <c r="MQG18" s="233"/>
      <c r="MQH18" s="233"/>
      <c r="MQI18" s="231"/>
      <c r="MQJ18" s="231"/>
      <c r="MQK18" s="229"/>
      <c r="MQL18" s="230"/>
      <c r="MQM18" s="231"/>
      <c r="MQN18" s="232"/>
      <c r="MQO18" s="233"/>
      <c r="MQP18" s="233"/>
      <c r="MQQ18" s="233"/>
      <c r="MQR18" s="233"/>
      <c r="MQS18" s="233"/>
      <c r="MQT18" s="233"/>
      <c r="MQU18" s="231"/>
      <c r="MQV18" s="231"/>
      <c r="MQW18" s="229"/>
      <c r="MQX18" s="230"/>
      <c r="MQY18" s="231"/>
      <c r="MQZ18" s="232"/>
      <c r="MRA18" s="233"/>
      <c r="MRB18" s="233"/>
      <c r="MRC18" s="233"/>
      <c r="MRD18" s="233"/>
      <c r="MRE18" s="233"/>
      <c r="MRF18" s="233"/>
      <c r="MRG18" s="231"/>
      <c r="MRH18" s="231"/>
      <c r="MRI18" s="229"/>
      <c r="MRJ18" s="230"/>
      <c r="MRK18" s="231"/>
      <c r="MRL18" s="232"/>
      <c r="MRM18" s="233"/>
      <c r="MRN18" s="233"/>
      <c r="MRO18" s="233"/>
      <c r="MRP18" s="233"/>
      <c r="MRQ18" s="233"/>
      <c r="MRR18" s="233"/>
      <c r="MRS18" s="231"/>
      <c r="MRT18" s="231"/>
      <c r="MRU18" s="229"/>
      <c r="MRV18" s="230"/>
      <c r="MRW18" s="231"/>
      <c r="MRX18" s="232"/>
      <c r="MRY18" s="233"/>
      <c r="MRZ18" s="233"/>
      <c r="MSA18" s="233"/>
      <c r="MSB18" s="233"/>
      <c r="MSC18" s="233"/>
      <c r="MSD18" s="233"/>
      <c r="MSE18" s="231"/>
      <c r="MSF18" s="231"/>
      <c r="MSG18" s="229"/>
      <c r="MSH18" s="230"/>
      <c r="MSI18" s="231"/>
      <c r="MSJ18" s="232"/>
      <c r="MSK18" s="233"/>
      <c r="MSL18" s="233"/>
      <c r="MSM18" s="233"/>
      <c r="MSN18" s="233"/>
      <c r="MSO18" s="233"/>
      <c r="MSP18" s="233"/>
      <c r="MSQ18" s="231"/>
      <c r="MSR18" s="231"/>
      <c r="MSS18" s="229"/>
      <c r="MST18" s="230"/>
      <c r="MSU18" s="231"/>
      <c r="MSV18" s="232"/>
      <c r="MSW18" s="233"/>
      <c r="MSX18" s="233"/>
      <c r="MSY18" s="233"/>
      <c r="MSZ18" s="233"/>
      <c r="MTA18" s="233"/>
      <c r="MTB18" s="233"/>
      <c r="MTC18" s="231"/>
      <c r="MTD18" s="231"/>
      <c r="MTE18" s="229"/>
      <c r="MTF18" s="230"/>
      <c r="MTG18" s="231"/>
      <c r="MTH18" s="232"/>
      <c r="MTI18" s="233"/>
      <c r="MTJ18" s="233"/>
      <c r="MTK18" s="233"/>
      <c r="MTL18" s="233"/>
      <c r="MTM18" s="233"/>
      <c r="MTN18" s="233"/>
      <c r="MTO18" s="231"/>
      <c r="MTP18" s="231"/>
      <c r="MTQ18" s="229"/>
      <c r="MTR18" s="230"/>
      <c r="MTS18" s="231"/>
      <c r="MTT18" s="232"/>
      <c r="MTU18" s="233"/>
      <c r="MTV18" s="233"/>
      <c r="MTW18" s="233"/>
      <c r="MTX18" s="233"/>
      <c r="MTY18" s="233"/>
      <c r="MTZ18" s="233"/>
      <c r="MUA18" s="231"/>
      <c r="MUB18" s="231"/>
      <c r="MUC18" s="229"/>
      <c r="MUD18" s="230"/>
      <c r="MUE18" s="231"/>
      <c r="MUF18" s="232"/>
      <c r="MUG18" s="233"/>
      <c r="MUH18" s="233"/>
      <c r="MUI18" s="233"/>
      <c r="MUJ18" s="233"/>
      <c r="MUK18" s="233"/>
      <c r="MUL18" s="233"/>
      <c r="MUM18" s="231"/>
      <c r="MUN18" s="231"/>
      <c r="MUO18" s="229"/>
      <c r="MUP18" s="230"/>
      <c r="MUQ18" s="231"/>
      <c r="MUR18" s="232"/>
      <c r="MUS18" s="233"/>
      <c r="MUT18" s="233"/>
      <c r="MUU18" s="233"/>
      <c r="MUV18" s="233"/>
      <c r="MUW18" s="233"/>
      <c r="MUX18" s="233"/>
      <c r="MUY18" s="231"/>
      <c r="MUZ18" s="231"/>
      <c r="MVA18" s="229"/>
      <c r="MVB18" s="230"/>
      <c r="MVC18" s="231"/>
      <c r="MVD18" s="232"/>
      <c r="MVE18" s="233"/>
      <c r="MVF18" s="233"/>
      <c r="MVG18" s="233"/>
      <c r="MVH18" s="233"/>
      <c r="MVI18" s="233"/>
      <c r="MVJ18" s="233"/>
      <c r="MVK18" s="231"/>
      <c r="MVL18" s="231"/>
      <c r="MVM18" s="229"/>
      <c r="MVN18" s="230"/>
      <c r="MVO18" s="231"/>
      <c r="MVP18" s="232"/>
      <c r="MVQ18" s="233"/>
      <c r="MVR18" s="233"/>
      <c r="MVS18" s="233"/>
      <c r="MVT18" s="233"/>
      <c r="MVU18" s="233"/>
      <c r="MVV18" s="233"/>
      <c r="MVW18" s="231"/>
      <c r="MVX18" s="231"/>
      <c r="MVY18" s="229"/>
      <c r="MVZ18" s="230"/>
      <c r="MWA18" s="231"/>
      <c r="MWB18" s="232"/>
      <c r="MWC18" s="233"/>
      <c r="MWD18" s="233"/>
      <c r="MWE18" s="233"/>
      <c r="MWF18" s="233"/>
      <c r="MWG18" s="233"/>
      <c r="MWH18" s="233"/>
      <c r="MWI18" s="231"/>
      <c r="MWJ18" s="231"/>
      <c r="MWK18" s="229"/>
      <c r="MWL18" s="230"/>
      <c r="MWM18" s="231"/>
      <c r="MWN18" s="232"/>
      <c r="MWO18" s="233"/>
      <c r="MWP18" s="233"/>
      <c r="MWQ18" s="233"/>
      <c r="MWR18" s="233"/>
      <c r="MWS18" s="233"/>
      <c r="MWT18" s="233"/>
      <c r="MWU18" s="231"/>
      <c r="MWV18" s="231"/>
      <c r="MWW18" s="229"/>
      <c r="MWX18" s="230"/>
      <c r="MWY18" s="231"/>
      <c r="MWZ18" s="232"/>
      <c r="MXA18" s="233"/>
      <c r="MXB18" s="233"/>
      <c r="MXC18" s="233"/>
      <c r="MXD18" s="233"/>
      <c r="MXE18" s="233"/>
      <c r="MXF18" s="233"/>
      <c r="MXG18" s="231"/>
      <c r="MXH18" s="231"/>
      <c r="MXI18" s="229"/>
      <c r="MXJ18" s="230"/>
      <c r="MXK18" s="231"/>
      <c r="MXL18" s="232"/>
      <c r="MXM18" s="233"/>
      <c r="MXN18" s="233"/>
      <c r="MXO18" s="233"/>
      <c r="MXP18" s="233"/>
      <c r="MXQ18" s="233"/>
      <c r="MXR18" s="233"/>
      <c r="MXS18" s="231"/>
      <c r="MXT18" s="231"/>
      <c r="MXU18" s="229"/>
      <c r="MXV18" s="230"/>
      <c r="MXW18" s="231"/>
      <c r="MXX18" s="232"/>
      <c r="MXY18" s="233"/>
      <c r="MXZ18" s="233"/>
      <c r="MYA18" s="233"/>
      <c r="MYB18" s="233"/>
      <c r="MYC18" s="233"/>
      <c r="MYD18" s="233"/>
      <c r="MYE18" s="231"/>
      <c r="MYF18" s="231"/>
      <c r="MYG18" s="229"/>
      <c r="MYH18" s="230"/>
      <c r="MYI18" s="231"/>
      <c r="MYJ18" s="232"/>
      <c r="MYK18" s="233"/>
      <c r="MYL18" s="233"/>
      <c r="MYM18" s="233"/>
      <c r="MYN18" s="233"/>
      <c r="MYO18" s="233"/>
      <c r="MYP18" s="233"/>
      <c r="MYQ18" s="231"/>
      <c r="MYR18" s="231"/>
      <c r="MYS18" s="229"/>
      <c r="MYT18" s="230"/>
      <c r="MYU18" s="231"/>
      <c r="MYV18" s="232"/>
      <c r="MYW18" s="233"/>
      <c r="MYX18" s="233"/>
      <c r="MYY18" s="233"/>
      <c r="MYZ18" s="233"/>
      <c r="MZA18" s="233"/>
      <c r="MZB18" s="233"/>
      <c r="MZC18" s="231"/>
      <c r="MZD18" s="231"/>
      <c r="MZE18" s="229"/>
      <c r="MZF18" s="230"/>
      <c r="MZG18" s="231"/>
      <c r="MZH18" s="232"/>
      <c r="MZI18" s="233"/>
      <c r="MZJ18" s="233"/>
      <c r="MZK18" s="233"/>
      <c r="MZL18" s="233"/>
      <c r="MZM18" s="233"/>
      <c r="MZN18" s="233"/>
      <c r="MZO18" s="231"/>
      <c r="MZP18" s="231"/>
      <c r="MZQ18" s="229"/>
      <c r="MZR18" s="230"/>
      <c r="MZS18" s="231"/>
      <c r="MZT18" s="232"/>
      <c r="MZU18" s="233"/>
      <c r="MZV18" s="233"/>
      <c r="MZW18" s="233"/>
      <c r="MZX18" s="233"/>
      <c r="MZY18" s="233"/>
      <c r="MZZ18" s="233"/>
      <c r="NAA18" s="231"/>
      <c r="NAB18" s="231"/>
      <c r="NAC18" s="229"/>
      <c r="NAD18" s="230"/>
      <c r="NAE18" s="231"/>
      <c r="NAF18" s="232"/>
      <c r="NAG18" s="233"/>
      <c r="NAH18" s="233"/>
      <c r="NAI18" s="233"/>
      <c r="NAJ18" s="233"/>
      <c r="NAK18" s="233"/>
      <c r="NAL18" s="233"/>
      <c r="NAM18" s="231"/>
      <c r="NAN18" s="231"/>
      <c r="NAO18" s="229"/>
      <c r="NAP18" s="230"/>
      <c r="NAQ18" s="231"/>
      <c r="NAR18" s="232"/>
      <c r="NAS18" s="233"/>
      <c r="NAT18" s="233"/>
      <c r="NAU18" s="233"/>
      <c r="NAV18" s="233"/>
      <c r="NAW18" s="233"/>
      <c r="NAX18" s="233"/>
      <c r="NAY18" s="231"/>
      <c r="NAZ18" s="231"/>
      <c r="NBA18" s="229"/>
      <c r="NBB18" s="230"/>
      <c r="NBC18" s="231"/>
      <c r="NBD18" s="232"/>
      <c r="NBE18" s="233"/>
      <c r="NBF18" s="233"/>
      <c r="NBG18" s="233"/>
      <c r="NBH18" s="233"/>
      <c r="NBI18" s="233"/>
      <c r="NBJ18" s="233"/>
      <c r="NBK18" s="231"/>
      <c r="NBL18" s="231"/>
      <c r="NBM18" s="229"/>
      <c r="NBN18" s="230"/>
      <c r="NBO18" s="231"/>
      <c r="NBP18" s="232"/>
      <c r="NBQ18" s="233"/>
      <c r="NBR18" s="233"/>
      <c r="NBS18" s="233"/>
      <c r="NBT18" s="233"/>
      <c r="NBU18" s="233"/>
      <c r="NBV18" s="233"/>
      <c r="NBW18" s="231"/>
      <c r="NBX18" s="231"/>
      <c r="NBY18" s="229"/>
      <c r="NBZ18" s="230"/>
      <c r="NCA18" s="231"/>
      <c r="NCB18" s="232"/>
      <c r="NCC18" s="233"/>
      <c r="NCD18" s="233"/>
      <c r="NCE18" s="233"/>
      <c r="NCF18" s="233"/>
      <c r="NCG18" s="233"/>
      <c r="NCH18" s="233"/>
      <c r="NCI18" s="231"/>
      <c r="NCJ18" s="231"/>
      <c r="NCK18" s="229"/>
      <c r="NCL18" s="230"/>
      <c r="NCM18" s="231"/>
      <c r="NCN18" s="232"/>
      <c r="NCO18" s="233"/>
      <c r="NCP18" s="233"/>
      <c r="NCQ18" s="233"/>
      <c r="NCR18" s="233"/>
      <c r="NCS18" s="233"/>
      <c r="NCT18" s="233"/>
      <c r="NCU18" s="231"/>
      <c r="NCV18" s="231"/>
      <c r="NCW18" s="229"/>
      <c r="NCX18" s="230"/>
      <c r="NCY18" s="231"/>
      <c r="NCZ18" s="232"/>
      <c r="NDA18" s="233"/>
      <c r="NDB18" s="233"/>
      <c r="NDC18" s="233"/>
      <c r="NDD18" s="233"/>
      <c r="NDE18" s="233"/>
      <c r="NDF18" s="233"/>
      <c r="NDG18" s="231"/>
      <c r="NDH18" s="231"/>
      <c r="NDI18" s="229"/>
      <c r="NDJ18" s="230"/>
      <c r="NDK18" s="231"/>
      <c r="NDL18" s="232"/>
      <c r="NDM18" s="233"/>
      <c r="NDN18" s="233"/>
      <c r="NDO18" s="233"/>
      <c r="NDP18" s="233"/>
      <c r="NDQ18" s="233"/>
      <c r="NDR18" s="233"/>
      <c r="NDS18" s="231"/>
      <c r="NDT18" s="231"/>
      <c r="NDU18" s="229"/>
      <c r="NDV18" s="230"/>
      <c r="NDW18" s="231"/>
      <c r="NDX18" s="232"/>
      <c r="NDY18" s="233"/>
      <c r="NDZ18" s="233"/>
      <c r="NEA18" s="233"/>
      <c r="NEB18" s="233"/>
      <c r="NEC18" s="233"/>
      <c r="NED18" s="233"/>
      <c r="NEE18" s="231"/>
      <c r="NEF18" s="231"/>
      <c r="NEG18" s="229"/>
      <c r="NEH18" s="230"/>
      <c r="NEI18" s="231"/>
      <c r="NEJ18" s="232"/>
      <c r="NEK18" s="233"/>
      <c r="NEL18" s="233"/>
      <c r="NEM18" s="233"/>
      <c r="NEN18" s="233"/>
      <c r="NEO18" s="233"/>
      <c r="NEP18" s="233"/>
      <c r="NEQ18" s="231"/>
      <c r="NER18" s="231"/>
      <c r="NES18" s="229"/>
      <c r="NET18" s="230"/>
      <c r="NEU18" s="231"/>
      <c r="NEV18" s="232"/>
      <c r="NEW18" s="233"/>
      <c r="NEX18" s="233"/>
      <c r="NEY18" s="233"/>
      <c r="NEZ18" s="233"/>
      <c r="NFA18" s="233"/>
      <c r="NFB18" s="233"/>
      <c r="NFC18" s="231"/>
      <c r="NFD18" s="231"/>
      <c r="NFE18" s="229"/>
      <c r="NFF18" s="230"/>
      <c r="NFG18" s="231"/>
      <c r="NFH18" s="232"/>
      <c r="NFI18" s="233"/>
      <c r="NFJ18" s="233"/>
      <c r="NFK18" s="233"/>
      <c r="NFL18" s="233"/>
      <c r="NFM18" s="233"/>
      <c r="NFN18" s="233"/>
      <c r="NFO18" s="231"/>
      <c r="NFP18" s="231"/>
      <c r="NFQ18" s="229"/>
      <c r="NFR18" s="230"/>
      <c r="NFS18" s="231"/>
      <c r="NFT18" s="232"/>
      <c r="NFU18" s="233"/>
      <c r="NFV18" s="233"/>
      <c r="NFW18" s="233"/>
      <c r="NFX18" s="233"/>
      <c r="NFY18" s="233"/>
      <c r="NFZ18" s="233"/>
      <c r="NGA18" s="231"/>
      <c r="NGB18" s="231"/>
      <c r="NGC18" s="229"/>
      <c r="NGD18" s="230"/>
      <c r="NGE18" s="231"/>
      <c r="NGF18" s="232"/>
      <c r="NGG18" s="233"/>
      <c r="NGH18" s="233"/>
      <c r="NGI18" s="233"/>
      <c r="NGJ18" s="233"/>
      <c r="NGK18" s="233"/>
      <c r="NGL18" s="233"/>
      <c r="NGM18" s="231"/>
      <c r="NGN18" s="231"/>
      <c r="NGO18" s="229"/>
      <c r="NGP18" s="230"/>
      <c r="NGQ18" s="231"/>
      <c r="NGR18" s="232"/>
      <c r="NGS18" s="233"/>
      <c r="NGT18" s="233"/>
      <c r="NGU18" s="233"/>
      <c r="NGV18" s="233"/>
      <c r="NGW18" s="233"/>
      <c r="NGX18" s="233"/>
      <c r="NGY18" s="231"/>
      <c r="NGZ18" s="231"/>
      <c r="NHA18" s="229"/>
      <c r="NHB18" s="230"/>
      <c r="NHC18" s="231"/>
      <c r="NHD18" s="232"/>
      <c r="NHE18" s="233"/>
      <c r="NHF18" s="233"/>
      <c r="NHG18" s="233"/>
      <c r="NHH18" s="233"/>
      <c r="NHI18" s="233"/>
      <c r="NHJ18" s="233"/>
      <c r="NHK18" s="231"/>
      <c r="NHL18" s="231"/>
      <c r="NHM18" s="229"/>
      <c r="NHN18" s="230"/>
      <c r="NHO18" s="231"/>
      <c r="NHP18" s="232"/>
      <c r="NHQ18" s="233"/>
      <c r="NHR18" s="233"/>
      <c r="NHS18" s="233"/>
      <c r="NHT18" s="233"/>
      <c r="NHU18" s="233"/>
      <c r="NHV18" s="233"/>
      <c r="NHW18" s="231"/>
      <c r="NHX18" s="231"/>
      <c r="NHY18" s="229"/>
      <c r="NHZ18" s="230"/>
      <c r="NIA18" s="231"/>
      <c r="NIB18" s="232"/>
      <c r="NIC18" s="233"/>
      <c r="NID18" s="233"/>
      <c r="NIE18" s="233"/>
      <c r="NIF18" s="233"/>
      <c r="NIG18" s="233"/>
      <c r="NIH18" s="233"/>
      <c r="NII18" s="231"/>
      <c r="NIJ18" s="231"/>
      <c r="NIK18" s="229"/>
      <c r="NIL18" s="230"/>
      <c r="NIM18" s="231"/>
      <c r="NIN18" s="232"/>
      <c r="NIO18" s="233"/>
      <c r="NIP18" s="233"/>
      <c r="NIQ18" s="233"/>
      <c r="NIR18" s="233"/>
      <c r="NIS18" s="233"/>
      <c r="NIT18" s="233"/>
      <c r="NIU18" s="231"/>
      <c r="NIV18" s="231"/>
      <c r="NIW18" s="229"/>
      <c r="NIX18" s="230"/>
      <c r="NIY18" s="231"/>
      <c r="NIZ18" s="232"/>
      <c r="NJA18" s="233"/>
      <c r="NJB18" s="233"/>
      <c r="NJC18" s="233"/>
      <c r="NJD18" s="233"/>
      <c r="NJE18" s="233"/>
      <c r="NJF18" s="233"/>
      <c r="NJG18" s="231"/>
      <c r="NJH18" s="231"/>
      <c r="NJI18" s="229"/>
      <c r="NJJ18" s="230"/>
      <c r="NJK18" s="231"/>
      <c r="NJL18" s="232"/>
      <c r="NJM18" s="233"/>
      <c r="NJN18" s="233"/>
      <c r="NJO18" s="233"/>
      <c r="NJP18" s="233"/>
      <c r="NJQ18" s="233"/>
      <c r="NJR18" s="233"/>
      <c r="NJS18" s="231"/>
      <c r="NJT18" s="231"/>
      <c r="NJU18" s="229"/>
      <c r="NJV18" s="230"/>
      <c r="NJW18" s="231"/>
      <c r="NJX18" s="232"/>
      <c r="NJY18" s="233"/>
      <c r="NJZ18" s="233"/>
      <c r="NKA18" s="233"/>
      <c r="NKB18" s="233"/>
      <c r="NKC18" s="233"/>
      <c r="NKD18" s="233"/>
      <c r="NKE18" s="231"/>
      <c r="NKF18" s="231"/>
      <c r="NKG18" s="229"/>
      <c r="NKH18" s="230"/>
      <c r="NKI18" s="231"/>
      <c r="NKJ18" s="232"/>
      <c r="NKK18" s="233"/>
      <c r="NKL18" s="233"/>
      <c r="NKM18" s="233"/>
      <c r="NKN18" s="233"/>
      <c r="NKO18" s="233"/>
      <c r="NKP18" s="233"/>
      <c r="NKQ18" s="231"/>
      <c r="NKR18" s="231"/>
      <c r="NKS18" s="229"/>
      <c r="NKT18" s="230"/>
      <c r="NKU18" s="231"/>
      <c r="NKV18" s="232"/>
      <c r="NKW18" s="233"/>
      <c r="NKX18" s="233"/>
      <c r="NKY18" s="233"/>
      <c r="NKZ18" s="233"/>
      <c r="NLA18" s="233"/>
      <c r="NLB18" s="233"/>
      <c r="NLC18" s="231"/>
      <c r="NLD18" s="231"/>
      <c r="NLE18" s="229"/>
      <c r="NLF18" s="230"/>
      <c r="NLG18" s="231"/>
      <c r="NLH18" s="232"/>
      <c r="NLI18" s="233"/>
      <c r="NLJ18" s="233"/>
      <c r="NLK18" s="233"/>
      <c r="NLL18" s="233"/>
      <c r="NLM18" s="233"/>
      <c r="NLN18" s="233"/>
      <c r="NLO18" s="231"/>
      <c r="NLP18" s="231"/>
      <c r="NLQ18" s="229"/>
      <c r="NLR18" s="230"/>
      <c r="NLS18" s="231"/>
      <c r="NLT18" s="232"/>
      <c r="NLU18" s="233"/>
      <c r="NLV18" s="233"/>
      <c r="NLW18" s="233"/>
      <c r="NLX18" s="233"/>
      <c r="NLY18" s="233"/>
      <c r="NLZ18" s="233"/>
      <c r="NMA18" s="231"/>
      <c r="NMB18" s="231"/>
      <c r="NMC18" s="229"/>
      <c r="NMD18" s="230"/>
      <c r="NME18" s="231"/>
      <c r="NMF18" s="232"/>
      <c r="NMG18" s="233"/>
      <c r="NMH18" s="233"/>
      <c r="NMI18" s="233"/>
      <c r="NMJ18" s="233"/>
      <c r="NMK18" s="233"/>
      <c r="NML18" s="233"/>
      <c r="NMM18" s="231"/>
      <c r="NMN18" s="231"/>
      <c r="NMO18" s="229"/>
      <c r="NMP18" s="230"/>
      <c r="NMQ18" s="231"/>
      <c r="NMR18" s="232"/>
      <c r="NMS18" s="233"/>
      <c r="NMT18" s="233"/>
      <c r="NMU18" s="233"/>
      <c r="NMV18" s="233"/>
      <c r="NMW18" s="233"/>
      <c r="NMX18" s="233"/>
      <c r="NMY18" s="231"/>
      <c r="NMZ18" s="231"/>
      <c r="NNA18" s="229"/>
      <c r="NNB18" s="230"/>
      <c r="NNC18" s="231"/>
      <c r="NND18" s="232"/>
      <c r="NNE18" s="233"/>
      <c r="NNF18" s="233"/>
      <c r="NNG18" s="233"/>
      <c r="NNH18" s="233"/>
      <c r="NNI18" s="233"/>
      <c r="NNJ18" s="233"/>
      <c r="NNK18" s="231"/>
      <c r="NNL18" s="231"/>
      <c r="NNM18" s="229"/>
      <c r="NNN18" s="230"/>
      <c r="NNO18" s="231"/>
      <c r="NNP18" s="232"/>
      <c r="NNQ18" s="233"/>
      <c r="NNR18" s="233"/>
      <c r="NNS18" s="233"/>
      <c r="NNT18" s="233"/>
      <c r="NNU18" s="233"/>
      <c r="NNV18" s="233"/>
      <c r="NNW18" s="231"/>
      <c r="NNX18" s="231"/>
      <c r="NNY18" s="229"/>
      <c r="NNZ18" s="230"/>
      <c r="NOA18" s="231"/>
      <c r="NOB18" s="232"/>
      <c r="NOC18" s="233"/>
      <c r="NOD18" s="233"/>
      <c r="NOE18" s="233"/>
      <c r="NOF18" s="233"/>
      <c r="NOG18" s="233"/>
      <c r="NOH18" s="233"/>
      <c r="NOI18" s="231"/>
      <c r="NOJ18" s="231"/>
      <c r="NOK18" s="229"/>
      <c r="NOL18" s="230"/>
      <c r="NOM18" s="231"/>
      <c r="NON18" s="232"/>
      <c r="NOO18" s="233"/>
      <c r="NOP18" s="233"/>
      <c r="NOQ18" s="233"/>
      <c r="NOR18" s="233"/>
      <c r="NOS18" s="233"/>
      <c r="NOT18" s="233"/>
      <c r="NOU18" s="231"/>
      <c r="NOV18" s="231"/>
      <c r="NOW18" s="229"/>
      <c r="NOX18" s="230"/>
      <c r="NOY18" s="231"/>
      <c r="NOZ18" s="232"/>
      <c r="NPA18" s="233"/>
      <c r="NPB18" s="233"/>
      <c r="NPC18" s="233"/>
      <c r="NPD18" s="233"/>
      <c r="NPE18" s="233"/>
      <c r="NPF18" s="233"/>
      <c r="NPG18" s="231"/>
      <c r="NPH18" s="231"/>
      <c r="NPI18" s="229"/>
      <c r="NPJ18" s="230"/>
      <c r="NPK18" s="231"/>
      <c r="NPL18" s="232"/>
      <c r="NPM18" s="233"/>
      <c r="NPN18" s="233"/>
      <c r="NPO18" s="233"/>
      <c r="NPP18" s="233"/>
      <c r="NPQ18" s="233"/>
      <c r="NPR18" s="233"/>
      <c r="NPS18" s="231"/>
      <c r="NPT18" s="231"/>
      <c r="NPU18" s="229"/>
      <c r="NPV18" s="230"/>
      <c r="NPW18" s="231"/>
      <c r="NPX18" s="232"/>
      <c r="NPY18" s="233"/>
      <c r="NPZ18" s="233"/>
      <c r="NQA18" s="233"/>
      <c r="NQB18" s="233"/>
      <c r="NQC18" s="233"/>
      <c r="NQD18" s="233"/>
      <c r="NQE18" s="231"/>
      <c r="NQF18" s="231"/>
      <c r="NQG18" s="229"/>
      <c r="NQH18" s="230"/>
      <c r="NQI18" s="231"/>
      <c r="NQJ18" s="232"/>
      <c r="NQK18" s="233"/>
      <c r="NQL18" s="233"/>
      <c r="NQM18" s="233"/>
      <c r="NQN18" s="233"/>
      <c r="NQO18" s="233"/>
      <c r="NQP18" s="233"/>
      <c r="NQQ18" s="231"/>
      <c r="NQR18" s="231"/>
      <c r="NQS18" s="229"/>
      <c r="NQT18" s="230"/>
      <c r="NQU18" s="231"/>
      <c r="NQV18" s="232"/>
      <c r="NQW18" s="233"/>
      <c r="NQX18" s="233"/>
      <c r="NQY18" s="233"/>
      <c r="NQZ18" s="233"/>
      <c r="NRA18" s="233"/>
      <c r="NRB18" s="233"/>
      <c r="NRC18" s="231"/>
      <c r="NRD18" s="231"/>
      <c r="NRE18" s="229"/>
      <c r="NRF18" s="230"/>
      <c r="NRG18" s="231"/>
      <c r="NRH18" s="232"/>
      <c r="NRI18" s="233"/>
      <c r="NRJ18" s="233"/>
      <c r="NRK18" s="233"/>
      <c r="NRL18" s="233"/>
      <c r="NRM18" s="233"/>
      <c r="NRN18" s="233"/>
      <c r="NRO18" s="231"/>
      <c r="NRP18" s="231"/>
      <c r="NRQ18" s="229"/>
      <c r="NRR18" s="230"/>
      <c r="NRS18" s="231"/>
      <c r="NRT18" s="232"/>
      <c r="NRU18" s="233"/>
      <c r="NRV18" s="233"/>
      <c r="NRW18" s="233"/>
      <c r="NRX18" s="233"/>
      <c r="NRY18" s="233"/>
      <c r="NRZ18" s="233"/>
      <c r="NSA18" s="231"/>
      <c r="NSB18" s="231"/>
      <c r="NSC18" s="229"/>
      <c r="NSD18" s="230"/>
      <c r="NSE18" s="231"/>
      <c r="NSF18" s="232"/>
      <c r="NSG18" s="233"/>
      <c r="NSH18" s="233"/>
      <c r="NSI18" s="233"/>
      <c r="NSJ18" s="233"/>
      <c r="NSK18" s="233"/>
      <c r="NSL18" s="233"/>
      <c r="NSM18" s="231"/>
      <c r="NSN18" s="231"/>
      <c r="NSO18" s="229"/>
      <c r="NSP18" s="230"/>
      <c r="NSQ18" s="231"/>
      <c r="NSR18" s="232"/>
      <c r="NSS18" s="233"/>
      <c r="NST18" s="233"/>
      <c r="NSU18" s="233"/>
      <c r="NSV18" s="233"/>
      <c r="NSW18" s="233"/>
      <c r="NSX18" s="233"/>
      <c r="NSY18" s="231"/>
      <c r="NSZ18" s="231"/>
      <c r="NTA18" s="229"/>
      <c r="NTB18" s="230"/>
      <c r="NTC18" s="231"/>
      <c r="NTD18" s="232"/>
      <c r="NTE18" s="233"/>
      <c r="NTF18" s="233"/>
      <c r="NTG18" s="233"/>
      <c r="NTH18" s="233"/>
      <c r="NTI18" s="233"/>
      <c r="NTJ18" s="233"/>
      <c r="NTK18" s="231"/>
      <c r="NTL18" s="231"/>
      <c r="NTM18" s="229"/>
      <c r="NTN18" s="230"/>
      <c r="NTO18" s="231"/>
      <c r="NTP18" s="232"/>
      <c r="NTQ18" s="233"/>
      <c r="NTR18" s="233"/>
      <c r="NTS18" s="233"/>
      <c r="NTT18" s="233"/>
      <c r="NTU18" s="233"/>
      <c r="NTV18" s="233"/>
      <c r="NTW18" s="231"/>
      <c r="NTX18" s="231"/>
      <c r="NTY18" s="229"/>
      <c r="NTZ18" s="230"/>
      <c r="NUA18" s="231"/>
      <c r="NUB18" s="232"/>
      <c r="NUC18" s="233"/>
      <c r="NUD18" s="233"/>
      <c r="NUE18" s="233"/>
      <c r="NUF18" s="233"/>
      <c r="NUG18" s="233"/>
      <c r="NUH18" s="233"/>
      <c r="NUI18" s="231"/>
      <c r="NUJ18" s="231"/>
      <c r="NUK18" s="229"/>
      <c r="NUL18" s="230"/>
      <c r="NUM18" s="231"/>
      <c r="NUN18" s="232"/>
      <c r="NUO18" s="233"/>
      <c r="NUP18" s="233"/>
      <c r="NUQ18" s="233"/>
      <c r="NUR18" s="233"/>
      <c r="NUS18" s="233"/>
      <c r="NUT18" s="233"/>
      <c r="NUU18" s="231"/>
      <c r="NUV18" s="231"/>
      <c r="NUW18" s="229"/>
      <c r="NUX18" s="230"/>
      <c r="NUY18" s="231"/>
      <c r="NUZ18" s="232"/>
      <c r="NVA18" s="233"/>
      <c r="NVB18" s="233"/>
      <c r="NVC18" s="233"/>
      <c r="NVD18" s="233"/>
      <c r="NVE18" s="233"/>
      <c r="NVF18" s="233"/>
      <c r="NVG18" s="231"/>
      <c r="NVH18" s="231"/>
      <c r="NVI18" s="229"/>
      <c r="NVJ18" s="230"/>
      <c r="NVK18" s="231"/>
      <c r="NVL18" s="232"/>
      <c r="NVM18" s="233"/>
      <c r="NVN18" s="233"/>
      <c r="NVO18" s="233"/>
      <c r="NVP18" s="233"/>
      <c r="NVQ18" s="233"/>
      <c r="NVR18" s="233"/>
      <c r="NVS18" s="231"/>
      <c r="NVT18" s="231"/>
      <c r="NVU18" s="229"/>
      <c r="NVV18" s="230"/>
      <c r="NVW18" s="231"/>
      <c r="NVX18" s="232"/>
      <c r="NVY18" s="233"/>
      <c r="NVZ18" s="233"/>
      <c r="NWA18" s="233"/>
      <c r="NWB18" s="233"/>
      <c r="NWC18" s="233"/>
      <c r="NWD18" s="233"/>
      <c r="NWE18" s="231"/>
      <c r="NWF18" s="231"/>
      <c r="NWG18" s="229"/>
      <c r="NWH18" s="230"/>
      <c r="NWI18" s="231"/>
      <c r="NWJ18" s="232"/>
      <c r="NWK18" s="233"/>
      <c r="NWL18" s="233"/>
      <c r="NWM18" s="233"/>
      <c r="NWN18" s="233"/>
      <c r="NWO18" s="233"/>
      <c r="NWP18" s="233"/>
      <c r="NWQ18" s="231"/>
      <c r="NWR18" s="231"/>
      <c r="NWS18" s="229"/>
      <c r="NWT18" s="230"/>
      <c r="NWU18" s="231"/>
      <c r="NWV18" s="232"/>
      <c r="NWW18" s="233"/>
      <c r="NWX18" s="233"/>
      <c r="NWY18" s="233"/>
      <c r="NWZ18" s="233"/>
      <c r="NXA18" s="233"/>
      <c r="NXB18" s="233"/>
      <c r="NXC18" s="231"/>
      <c r="NXD18" s="231"/>
      <c r="NXE18" s="229"/>
      <c r="NXF18" s="230"/>
      <c r="NXG18" s="231"/>
      <c r="NXH18" s="232"/>
      <c r="NXI18" s="233"/>
      <c r="NXJ18" s="233"/>
      <c r="NXK18" s="233"/>
      <c r="NXL18" s="233"/>
      <c r="NXM18" s="233"/>
      <c r="NXN18" s="233"/>
      <c r="NXO18" s="231"/>
      <c r="NXP18" s="231"/>
      <c r="NXQ18" s="229"/>
      <c r="NXR18" s="230"/>
      <c r="NXS18" s="231"/>
      <c r="NXT18" s="232"/>
      <c r="NXU18" s="233"/>
      <c r="NXV18" s="233"/>
      <c r="NXW18" s="233"/>
      <c r="NXX18" s="233"/>
      <c r="NXY18" s="233"/>
      <c r="NXZ18" s="233"/>
      <c r="NYA18" s="231"/>
      <c r="NYB18" s="231"/>
      <c r="NYC18" s="229"/>
      <c r="NYD18" s="230"/>
      <c r="NYE18" s="231"/>
      <c r="NYF18" s="232"/>
      <c r="NYG18" s="233"/>
      <c r="NYH18" s="233"/>
      <c r="NYI18" s="233"/>
      <c r="NYJ18" s="233"/>
      <c r="NYK18" s="233"/>
      <c r="NYL18" s="233"/>
      <c r="NYM18" s="231"/>
      <c r="NYN18" s="231"/>
      <c r="NYO18" s="229"/>
      <c r="NYP18" s="230"/>
      <c r="NYQ18" s="231"/>
      <c r="NYR18" s="232"/>
      <c r="NYS18" s="233"/>
      <c r="NYT18" s="233"/>
      <c r="NYU18" s="233"/>
      <c r="NYV18" s="233"/>
      <c r="NYW18" s="233"/>
      <c r="NYX18" s="233"/>
      <c r="NYY18" s="231"/>
      <c r="NYZ18" s="231"/>
      <c r="NZA18" s="229"/>
      <c r="NZB18" s="230"/>
      <c r="NZC18" s="231"/>
      <c r="NZD18" s="232"/>
      <c r="NZE18" s="233"/>
      <c r="NZF18" s="233"/>
      <c r="NZG18" s="233"/>
      <c r="NZH18" s="233"/>
      <c r="NZI18" s="233"/>
      <c r="NZJ18" s="233"/>
      <c r="NZK18" s="231"/>
      <c r="NZL18" s="231"/>
      <c r="NZM18" s="229"/>
      <c r="NZN18" s="230"/>
      <c r="NZO18" s="231"/>
      <c r="NZP18" s="232"/>
      <c r="NZQ18" s="233"/>
      <c r="NZR18" s="233"/>
      <c r="NZS18" s="233"/>
      <c r="NZT18" s="233"/>
      <c r="NZU18" s="233"/>
      <c r="NZV18" s="233"/>
      <c r="NZW18" s="231"/>
      <c r="NZX18" s="231"/>
      <c r="NZY18" s="229"/>
      <c r="NZZ18" s="230"/>
      <c r="OAA18" s="231"/>
      <c r="OAB18" s="232"/>
      <c r="OAC18" s="233"/>
      <c r="OAD18" s="233"/>
      <c r="OAE18" s="233"/>
      <c r="OAF18" s="233"/>
      <c r="OAG18" s="233"/>
      <c r="OAH18" s="233"/>
      <c r="OAI18" s="231"/>
      <c r="OAJ18" s="231"/>
      <c r="OAK18" s="229"/>
      <c r="OAL18" s="230"/>
      <c r="OAM18" s="231"/>
      <c r="OAN18" s="232"/>
      <c r="OAO18" s="233"/>
      <c r="OAP18" s="233"/>
      <c r="OAQ18" s="233"/>
      <c r="OAR18" s="233"/>
      <c r="OAS18" s="233"/>
      <c r="OAT18" s="233"/>
      <c r="OAU18" s="231"/>
      <c r="OAV18" s="231"/>
      <c r="OAW18" s="229"/>
      <c r="OAX18" s="230"/>
      <c r="OAY18" s="231"/>
      <c r="OAZ18" s="232"/>
      <c r="OBA18" s="233"/>
      <c r="OBB18" s="233"/>
      <c r="OBC18" s="233"/>
      <c r="OBD18" s="233"/>
      <c r="OBE18" s="233"/>
      <c r="OBF18" s="233"/>
      <c r="OBG18" s="231"/>
      <c r="OBH18" s="231"/>
      <c r="OBI18" s="229"/>
      <c r="OBJ18" s="230"/>
      <c r="OBK18" s="231"/>
      <c r="OBL18" s="232"/>
      <c r="OBM18" s="233"/>
      <c r="OBN18" s="233"/>
      <c r="OBO18" s="233"/>
      <c r="OBP18" s="233"/>
      <c r="OBQ18" s="233"/>
      <c r="OBR18" s="233"/>
      <c r="OBS18" s="231"/>
      <c r="OBT18" s="231"/>
      <c r="OBU18" s="229"/>
      <c r="OBV18" s="230"/>
      <c r="OBW18" s="231"/>
      <c r="OBX18" s="232"/>
      <c r="OBY18" s="233"/>
      <c r="OBZ18" s="233"/>
      <c r="OCA18" s="233"/>
      <c r="OCB18" s="233"/>
      <c r="OCC18" s="233"/>
      <c r="OCD18" s="233"/>
      <c r="OCE18" s="231"/>
      <c r="OCF18" s="231"/>
      <c r="OCG18" s="229"/>
      <c r="OCH18" s="230"/>
      <c r="OCI18" s="231"/>
      <c r="OCJ18" s="232"/>
      <c r="OCK18" s="233"/>
      <c r="OCL18" s="233"/>
      <c r="OCM18" s="233"/>
      <c r="OCN18" s="233"/>
      <c r="OCO18" s="233"/>
      <c r="OCP18" s="233"/>
      <c r="OCQ18" s="231"/>
      <c r="OCR18" s="231"/>
      <c r="OCS18" s="229"/>
      <c r="OCT18" s="230"/>
      <c r="OCU18" s="231"/>
      <c r="OCV18" s="232"/>
      <c r="OCW18" s="233"/>
      <c r="OCX18" s="233"/>
      <c r="OCY18" s="233"/>
      <c r="OCZ18" s="233"/>
      <c r="ODA18" s="233"/>
      <c r="ODB18" s="233"/>
      <c r="ODC18" s="231"/>
      <c r="ODD18" s="231"/>
      <c r="ODE18" s="229"/>
      <c r="ODF18" s="230"/>
      <c r="ODG18" s="231"/>
      <c r="ODH18" s="232"/>
      <c r="ODI18" s="233"/>
      <c r="ODJ18" s="233"/>
      <c r="ODK18" s="233"/>
      <c r="ODL18" s="233"/>
      <c r="ODM18" s="233"/>
      <c r="ODN18" s="233"/>
      <c r="ODO18" s="231"/>
      <c r="ODP18" s="231"/>
      <c r="ODQ18" s="229"/>
      <c r="ODR18" s="230"/>
      <c r="ODS18" s="231"/>
      <c r="ODT18" s="232"/>
      <c r="ODU18" s="233"/>
      <c r="ODV18" s="233"/>
      <c r="ODW18" s="233"/>
      <c r="ODX18" s="233"/>
      <c r="ODY18" s="233"/>
      <c r="ODZ18" s="233"/>
      <c r="OEA18" s="231"/>
      <c r="OEB18" s="231"/>
      <c r="OEC18" s="229"/>
      <c r="OED18" s="230"/>
      <c r="OEE18" s="231"/>
      <c r="OEF18" s="232"/>
      <c r="OEG18" s="233"/>
      <c r="OEH18" s="233"/>
      <c r="OEI18" s="233"/>
      <c r="OEJ18" s="233"/>
      <c r="OEK18" s="233"/>
      <c r="OEL18" s="233"/>
      <c r="OEM18" s="231"/>
      <c r="OEN18" s="231"/>
      <c r="OEO18" s="229"/>
      <c r="OEP18" s="230"/>
      <c r="OEQ18" s="231"/>
      <c r="OER18" s="232"/>
      <c r="OES18" s="233"/>
      <c r="OET18" s="233"/>
      <c r="OEU18" s="233"/>
      <c r="OEV18" s="233"/>
      <c r="OEW18" s="233"/>
      <c r="OEX18" s="233"/>
      <c r="OEY18" s="231"/>
      <c r="OEZ18" s="231"/>
      <c r="OFA18" s="229"/>
      <c r="OFB18" s="230"/>
      <c r="OFC18" s="231"/>
      <c r="OFD18" s="232"/>
      <c r="OFE18" s="233"/>
      <c r="OFF18" s="233"/>
      <c r="OFG18" s="233"/>
      <c r="OFH18" s="233"/>
      <c r="OFI18" s="233"/>
      <c r="OFJ18" s="233"/>
      <c r="OFK18" s="231"/>
      <c r="OFL18" s="231"/>
      <c r="OFM18" s="229"/>
      <c r="OFN18" s="230"/>
      <c r="OFO18" s="231"/>
      <c r="OFP18" s="232"/>
      <c r="OFQ18" s="233"/>
      <c r="OFR18" s="233"/>
      <c r="OFS18" s="233"/>
      <c r="OFT18" s="233"/>
      <c r="OFU18" s="233"/>
      <c r="OFV18" s="233"/>
      <c r="OFW18" s="231"/>
      <c r="OFX18" s="231"/>
      <c r="OFY18" s="229"/>
      <c r="OFZ18" s="230"/>
      <c r="OGA18" s="231"/>
      <c r="OGB18" s="232"/>
      <c r="OGC18" s="233"/>
      <c r="OGD18" s="233"/>
      <c r="OGE18" s="233"/>
      <c r="OGF18" s="233"/>
      <c r="OGG18" s="233"/>
      <c r="OGH18" s="233"/>
      <c r="OGI18" s="231"/>
      <c r="OGJ18" s="231"/>
      <c r="OGK18" s="229"/>
      <c r="OGL18" s="230"/>
      <c r="OGM18" s="231"/>
      <c r="OGN18" s="232"/>
      <c r="OGO18" s="233"/>
      <c r="OGP18" s="233"/>
      <c r="OGQ18" s="233"/>
      <c r="OGR18" s="233"/>
      <c r="OGS18" s="233"/>
      <c r="OGT18" s="233"/>
      <c r="OGU18" s="231"/>
      <c r="OGV18" s="231"/>
      <c r="OGW18" s="229"/>
      <c r="OGX18" s="230"/>
      <c r="OGY18" s="231"/>
      <c r="OGZ18" s="232"/>
      <c r="OHA18" s="233"/>
      <c r="OHB18" s="233"/>
      <c r="OHC18" s="233"/>
      <c r="OHD18" s="233"/>
      <c r="OHE18" s="233"/>
      <c r="OHF18" s="233"/>
      <c r="OHG18" s="231"/>
      <c r="OHH18" s="231"/>
      <c r="OHI18" s="229"/>
      <c r="OHJ18" s="230"/>
      <c r="OHK18" s="231"/>
      <c r="OHL18" s="232"/>
      <c r="OHM18" s="233"/>
      <c r="OHN18" s="233"/>
      <c r="OHO18" s="233"/>
      <c r="OHP18" s="233"/>
      <c r="OHQ18" s="233"/>
      <c r="OHR18" s="233"/>
      <c r="OHS18" s="231"/>
      <c r="OHT18" s="231"/>
      <c r="OHU18" s="229"/>
      <c r="OHV18" s="230"/>
      <c r="OHW18" s="231"/>
      <c r="OHX18" s="232"/>
      <c r="OHY18" s="233"/>
      <c r="OHZ18" s="233"/>
      <c r="OIA18" s="233"/>
      <c r="OIB18" s="233"/>
      <c r="OIC18" s="233"/>
      <c r="OID18" s="233"/>
      <c r="OIE18" s="231"/>
      <c r="OIF18" s="231"/>
      <c r="OIG18" s="229"/>
      <c r="OIH18" s="230"/>
      <c r="OII18" s="231"/>
      <c r="OIJ18" s="232"/>
      <c r="OIK18" s="233"/>
      <c r="OIL18" s="233"/>
      <c r="OIM18" s="233"/>
      <c r="OIN18" s="233"/>
      <c r="OIO18" s="233"/>
      <c r="OIP18" s="233"/>
      <c r="OIQ18" s="231"/>
      <c r="OIR18" s="231"/>
      <c r="OIS18" s="229"/>
      <c r="OIT18" s="230"/>
      <c r="OIU18" s="231"/>
      <c r="OIV18" s="232"/>
      <c r="OIW18" s="233"/>
      <c r="OIX18" s="233"/>
      <c r="OIY18" s="233"/>
      <c r="OIZ18" s="233"/>
      <c r="OJA18" s="233"/>
      <c r="OJB18" s="233"/>
      <c r="OJC18" s="231"/>
      <c r="OJD18" s="231"/>
      <c r="OJE18" s="229"/>
      <c r="OJF18" s="230"/>
      <c r="OJG18" s="231"/>
      <c r="OJH18" s="232"/>
      <c r="OJI18" s="233"/>
      <c r="OJJ18" s="233"/>
      <c r="OJK18" s="233"/>
      <c r="OJL18" s="233"/>
      <c r="OJM18" s="233"/>
      <c r="OJN18" s="233"/>
      <c r="OJO18" s="231"/>
      <c r="OJP18" s="231"/>
      <c r="OJQ18" s="229"/>
      <c r="OJR18" s="230"/>
      <c r="OJS18" s="231"/>
      <c r="OJT18" s="232"/>
      <c r="OJU18" s="233"/>
      <c r="OJV18" s="233"/>
      <c r="OJW18" s="233"/>
      <c r="OJX18" s="233"/>
      <c r="OJY18" s="233"/>
      <c r="OJZ18" s="233"/>
      <c r="OKA18" s="231"/>
      <c r="OKB18" s="231"/>
      <c r="OKC18" s="229"/>
      <c r="OKD18" s="230"/>
      <c r="OKE18" s="231"/>
      <c r="OKF18" s="232"/>
      <c r="OKG18" s="233"/>
      <c r="OKH18" s="233"/>
      <c r="OKI18" s="233"/>
      <c r="OKJ18" s="233"/>
      <c r="OKK18" s="233"/>
      <c r="OKL18" s="233"/>
      <c r="OKM18" s="231"/>
      <c r="OKN18" s="231"/>
      <c r="OKO18" s="229"/>
      <c r="OKP18" s="230"/>
      <c r="OKQ18" s="231"/>
      <c r="OKR18" s="232"/>
      <c r="OKS18" s="233"/>
      <c r="OKT18" s="233"/>
      <c r="OKU18" s="233"/>
      <c r="OKV18" s="233"/>
      <c r="OKW18" s="233"/>
      <c r="OKX18" s="233"/>
      <c r="OKY18" s="231"/>
      <c r="OKZ18" s="231"/>
      <c r="OLA18" s="229"/>
      <c r="OLB18" s="230"/>
      <c r="OLC18" s="231"/>
      <c r="OLD18" s="232"/>
      <c r="OLE18" s="233"/>
      <c r="OLF18" s="233"/>
      <c r="OLG18" s="233"/>
      <c r="OLH18" s="233"/>
      <c r="OLI18" s="233"/>
      <c r="OLJ18" s="233"/>
      <c r="OLK18" s="231"/>
      <c r="OLL18" s="231"/>
      <c r="OLM18" s="229"/>
      <c r="OLN18" s="230"/>
      <c r="OLO18" s="231"/>
      <c r="OLP18" s="232"/>
      <c r="OLQ18" s="233"/>
      <c r="OLR18" s="233"/>
      <c r="OLS18" s="233"/>
      <c r="OLT18" s="233"/>
      <c r="OLU18" s="233"/>
      <c r="OLV18" s="233"/>
      <c r="OLW18" s="231"/>
      <c r="OLX18" s="231"/>
      <c r="OLY18" s="229"/>
      <c r="OLZ18" s="230"/>
      <c r="OMA18" s="231"/>
      <c r="OMB18" s="232"/>
      <c r="OMC18" s="233"/>
      <c r="OMD18" s="233"/>
      <c r="OME18" s="233"/>
      <c r="OMF18" s="233"/>
      <c r="OMG18" s="233"/>
      <c r="OMH18" s="233"/>
      <c r="OMI18" s="231"/>
      <c r="OMJ18" s="231"/>
      <c r="OMK18" s="229"/>
      <c r="OML18" s="230"/>
      <c r="OMM18" s="231"/>
      <c r="OMN18" s="232"/>
      <c r="OMO18" s="233"/>
      <c r="OMP18" s="233"/>
      <c r="OMQ18" s="233"/>
      <c r="OMR18" s="233"/>
      <c r="OMS18" s="233"/>
      <c r="OMT18" s="233"/>
      <c r="OMU18" s="231"/>
      <c r="OMV18" s="231"/>
      <c r="OMW18" s="229"/>
      <c r="OMX18" s="230"/>
      <c r="OMY18" s="231"/>
      <c r="OMZ18" s="232"/>
      <c r="ONA18" s="233"/>
      <c r="ONB18" s="233"/>
      <c r="ONC18" s="233"/>
      <c r="OND18" s="233"/>
      <c r="ONE18" s="233"/>
      <c r="ONF18" s="233"/>
      <c r="ONG18" s="231"/>
      <c r="ONH18" s="231"/>
      <c r="ONI18" s="229"/>
      <c r="ONJ18" s="230"/>
      <c r="ONK18" s="231"/>
      <c r="ONL18" s="232"/>
      <c r="ONM18" s="233"/>
      <c r="ONN18" s="233"/>
      <c r="ONO18" s="233"/>
      <c r="ONP18" s="233"/>
      <c r="ONQ18" s="233"/>
      <c r="ONR18" s="233"/>
      <c r="ONS18" s="231"/>
      <c r="ONT18" s="231"/>
      <c r="ONU18" s="229"/>
      <c r="ONV18" s="230"/>
      <c r="ONW18" s="231"/>
      <c r="ONX18" s="232"/>
      <c r="ONY18" s="233"/>
      <c r="ONZ18" s="233"/>
      <c r="OOA18" s="233"/>
      <c r="OOB18" s="233"/>
      <c r="OOC18" s="233"/>
      <c r="OOD18" s="233"/>
      <c r="OOE18" s="231"/>
      <c r="OOF18" s="231"/>
      <c r="OOG18" s="229"/>
      <c r="OOH18" s="230"/>
      <c r="OOI18" s="231"/>
      <c r="OOJ18" s="232"/>
      <c r="OOK18" s="233"/>
      <c r="OOL18" s="233"/>
      <c r="OOM18" s="233"/>
      <c r="OON18" s="233"/>
      <c r="OOO18" s="233"/>
      <c r="OOP18" s="233"/>
      <c r="OOQ18" s="231"/>
      <c r="OOR18" s="231"/>
      <c r="OOS18" s="229"/>
      <c r="OOT18" s="230"/>
      <c r="OOU18" s="231"/>
      <c r="OOV18" s="232"/>
      <c r="OOW18" s="233"/>
      <c r="OOX18" s="233"/>
      <c r="OOY18" s="233"/>
      <c r="OOZ18" s="233"/>
      <c r="OPA18" s="233"/>
      <c r="OPB18" s="233"/>
      <c r="OPC18" s="231"/>
      <c r="OPD18" s="231"/>
      <c r="OPE18" s="229"/>
      <c r="OPF18" s="230"/>
      <c r="OPG18" s="231"/>
      <c r="OPH18" s="232"/>
      <c r="OPI18" s="233"/>
      <c r="OPJ18" s="233"/>
      <c r="OPK18" s="233"/>
      <c r="OPL18" s="233"/>
      <c r="OPM18" s="233"/>
      <c r="OPN18" s="233"/>
      <c r="OPO18" s="231"/>
      <c r="OPP18" s="231"/>
      <c r="OPQ18" s="229"/>
      <c r="OPR18" s="230"/>
      <c r="OPS18" s="231"/>
      <c r="OPT18" s="232"/>
      <c r="OPU18" s="233"/>
      <c r="OPV18" s="233"/>
      <c r="OPW18" s="233"/>
      <c r="OPX18" s="233"/>
      <c r="OPY18" s="233"/>
      <c r="OPZ18" s="233"/>
      <c r="OQA18" s="231"/>
      <c r="OQB18" s="231"/>
      <c r="OQC18" s="229"/>
      <c r="OQD18" s="230"/>
      <c r="OQE18" s="231"/>
      <c r="OQF18" s="232"/>
      <c r="OQG18" s="233"/>
      <c r="OQH18" s="233"/>
      <c r="OQI18" s="233"/>
      <c r="OQJ18" s="233"/>
      <c r="OQK18" s="233"/>
      <c r="OQL18" s="233"/>
      <c r="OQM18" s="231"/>
      <c r="OQN18" s="231"/>
      <c r="OQO18" s="229"/>
      <c r="OQP18" s="230"/>
      <c r="OQQ18" s="231"/>
      <c r="OQR18" s="232"/>
      <c r="OQS18" s="233"/>
      <c r="OQT18" s="233"/>
      <c r="OQU18" s="233"/>
      <c r="OQV18" s="233"/>
      <c r="OQW18" s="233"/>
      <c r="OQX18" s="233"/>
      <c r="OQY18" s="231"/>
      <c r="OQZ18" s="231"/>
      <c r="ORA18" s="229"/>
      <c r="ORB18" s="230"/>
      <c r="ORC18" s="231"/>
      <c r="ORD18" s="232"/>
      <c r="ORE18" s="233"/>
      <c r="ORF18" s="233"/>
      <c r="ORG18" s="233"/>
      <c r="ORH18" s="233"/>
      <c r="ORI18" s="233"/>
      <c r="ORJ18" s="233"/>
      <c r="ORK18" s="231"/>
      <c r="ORL18" s="231"/>
      <c r="ORM18" s="229"/>
      <c r="ORN18" s="230"/>
      <c r="ORO18" s="231"/>
      <c r="ORP18" s="232"/>
      <c r="ORQ18" s="233"/>
      <c r="ORR18" s="233"/>
      <c r="ORS18" s="233"/>
      <c r="ORT18" s="233"/>
      <c r="ORU18" s="233"/>
      <c r="ORV18" s="233"/>
      <c r="ORW18" s="231"/>
      <c r="ORX18" s="231"/>
      <c r="ORY18" s="229"/>
      <c r="ORZ18" s="230"/>
      <c r="OSA18" s="231"/>
      <c r="OSB18" s="232"/>
      <c r="OSC18" s="233"/>
      <c r="OSD18" s="233"/>
      <c r="OSE18" s="233"/>
      <c r="OSF18" s="233"/>
      <c r="OSG18" s="233"/>
      <c r="OSH18" s="233"/>
      <c r="OSI18" s="231"/>
      <c r="OSJ18" s="231"/>
      <c r="OSK18" s="229"/>
      <c r="OSL18" s="230"/>
      <c r="OSM18" s="231"/>
      <c r="OSN18" s="232"/>
      <c r="OSO18" s="233"/>
      <c r="OSP18" s="233"/>
      <c r="OSQ18" s="233"/>
      <c r="OSR18" s="233"/>
      <c r="OSS18" s="233"/>
      <c r="OST18" s="233"/>
      <c r="OSU18" s="231"/>
      <c r="OSV18" s="231"/>
      <c r="OSW18" s="229"/>
      <c r="OSX18" s="230"/>
      <c r="OSY18" s="231"/>
      <c r="OSZ18" s="232"/>
      <c r="OTA18" s="233"/>
      <c r="OTB18" s="233"/>
      <c r="OTC18" s="233"/>
      <c r="OTD18" s="233"/>
      <c r="OTE18" s="233"/>
      <c r="OTF18" s="233"/>
      <c r="OTG18" s="231"/>
      <c r="OTH18" s="231"/>
      <c r="OTI18" s="229"/>
      <c r="OTJ18" s="230"/>
      <c r="OTK18" s="231"/>
      <c r="OTL18" s="232"/>
      <c r="OTM18" s="233"/>
      <c r="OTN18" s="233"/>
      <c r="OTO18" s="233"/>
      <c r="OTP18" s="233"/>
      <c r="OTQ18" s="233"/>
      <c r="OTR18" s="233"/>
      <c r="OTS18" s="231"/>
      <c r="OTT18" s="231"/>
      <c r="OTU18" s="229"/>
      <c r="OTV18" s="230"/>
      <c r="OTW18" s="231"/>
      <c r="OTX18" s="232"/>
      <c r="OTY18" s="233"/>
      <c r="OTZ18" s="233"/>
      <c r="OUA18" s="233"/>
      <c r="OUB18" s="233"/>
      <c r="OUC18" s="233"/>
      <c r="OUD18" s="233"/>
      <c r="OUE18" s="231"/>
      <c r="OUF18" s="231"/>
      <c r="OUG18" s="229"/>
      <c r="OUH18" s="230"/>
      <c r="OUI18" s="231"/>
      <c r="OUJ18" s="232"/>
      <c r="OUK18" s="233"/>
      <c r="OUL18" s="233"/>
      <c r="OUM18" s="233"/>
      <c r="OUN18" s="233"/>
      <c r="OUO18" s="233"/>
      <c r="OUP18" s="233"/>
      <c r="OUQ18" s="231"/>
      <c r="OUR18" s="231"/>
      <c r="OUS18" s="229"/>
      <c r="OUT18" s="230"/>
      <c r="OUU18" s="231"/>
      <c r="OUV18" s="232"/>
      <c r="OUW18" s="233"/>
      <c r="OUX18" s="233"/>
      <c r="OUY18" s="233"/>
      <c r="OUZ18" s="233"/>
      <c r="OVA18" s="233"/>
      <c r="OVB18" s="233"/>
      <c r="OVC18" s="231"/>
      <c r="OVD18" s="231"/>
      <c r="OVE18" s="229"/>
      <c r="OVF18" s="230"/>
      <c r="OVG18" s="231"/>
      <c r="OVH18" s="232"/>
      <c r="OVI18" s="233"/>
      <c r="OVJ18" s="233"/>
      <c r="OVK18" s="233"/>
      <c r="OVL18" s="233"/>
      <c r="OVM18" s="233"/>
      <c r="OVN18" s="233"/>
      <c r="OVO18" s="231"/>
      <c r="OVP18" s="231"/>
      <c r="OVQ18" s="229"/>
      <c r="OVR18" s="230"/>
      <c r="OVS18" s="231"/>
      <c r="OVT18" s="232"/>
      <c r="OVU18" s="233"/>
      <c r="OVV18" s="233"/>
      <c r="OVW18" s="233"/>
      <c r="OVX18" s="233"/>
      <c r="OVY18" s="233"/>
      <c r="OVZ18" s="233"/>
      <c r="OWA18" s="231"/>
      <c r="OWB18" s="231"/>
      <c r="OWC18" s="229"/>
      <c r="OWD18" s="230"/>
      <c r="OWE18" s="231"/>
      <c r="OWF18" s="232"/>
      <c r="OWG18" s="233"/>
      <c r="OWH18" s="233"/>
      <c r="OWI18" s="233"/>
      <c r="OWJ18" s="233"/>
      <c r="OWK18" s="233"/>
      <c r="OWL18" s="233"/>
      <c r="OWM18" s="231"/>
      <c r="OWN18" s="231"/>
      <c r="OWO18" s="229"/>
      <c r="OWP18" s="230"/>
      <c r="OWQ18" s="231"/>
      <c r="OWR18" s="232"/>
      <c r="OWS18" s="233"/>
      <c r="OWT18" s="233"/>
      <c r="OWU18" s="233"/>
      <c r="OWV18" s="233"/>
      <c r="OWW18" s="233"/>
      <c r="OWX18" s="233"/>
      <c r="OWY18" s="231"/>
      <c r="OWZ18" s="231"/>
      <c r="OXA18" s="229"/>
      <c r="OXB18" s="230"/>
      <c r="OXC18" s="231"/>
      <c r="OXD18" s="232"/>
      <c r="OXE18" s="233"/>
      <c r="OXF18" s="233"/>
      <c r="OXG18" s="233"/>
      <c r="OXH18" s="233"/>
      <c r="OXI18" s="233"/>
      <c r="OXJ18" s="233"/>
      <c r="OXK18" s="231"/>
      <c r="OXL18" s="231"/>
      <c r="OXM18" s="229"/>
      <c r="OXN18" s="230"/>
      <c r="OXO18" s="231"/>
      <c r="OXP18" s="232"/>
      <c r="OXQ18" s="233"/>
      <c r="OXR18" s="233"/>
      <c r="OXS18" s="233"/>
      <c r="OXT18" s="233"/>
      <c r="OXU18" s="233"/>
      <c r="OXV18" s="233"/>
      <c r="OXW18" s="231"/>
      <c r="OXX18" s="231"/>
      <c r="OXY18" s="229"/>
      <c r="OXZ18" s="230"/>
      <c r="OYA18" s="231"/>
      <c r="OYB18" s="232"/>
      <c r="OYC18" s="233"/>
      <c r="OYD18" s="233"/>
      <c r="OYE18" s="233"/>
      <c r="OYF18" s="233"/>
      <c r="OYG18" s="233"/>
      <c r="OYH18" s="233"/>
      <c r="OYI18" s="231"/>
      <c r="OYJ18" s="231"/>
      <c r="OYK18" s="229"/>
      <c r="OYL18" s="230"/>
      <c r="OYM18" s="231"/>
      <c r="OYN18" s="232"/>
      <c r="OYO18" s="233"/>
      <c r="OYP18" s="233"/>
      <c r="OYQ18" s="233"/>
      <c r="OYR18" s="233"/>
      <c r="OYS18" s="233"/>
      <c r="OYT18" s="233"/>
      <c r="OYU18" s="231"/>
      <c r="OYV18" s="231"/>
      <c r="OYW18" s="229"/>
      <c r="OYX18" s="230"/>
      <c r="OYY18" s="231"/>
      <c r="OYZ18" s="232"/>
      <c r="OZA18" s="233"/>
      <c r="OZB18" s="233"/>
      <c r="OZC18" s="233"/>
      <c r="OZD18" s="233"/>
      <c r="OZE18" s="233"/>
      <c r="OZF18" s="233"/>
      <c r="OZG18" s="231"/>
      <c r="OZH18" s="231"/>
      <c r="OZI18" s="229"/>
      <c r="OZJ18" s="230"/>
      <c r="OZK18" s="231"/>
      <c r="OZL18" s="232"/>
      <c r="OZM18" s="233"/>
      <c r="OZN18" s="233"/>
      <c r="OZO18" s="233"/>
      <c r="OZP18" s="233"/>
      <c r="OZQ18" s="233"/>
      <c r="OZR18" s="233"/>
      <c r="OZS18" s="231"/>
      <c r="OZT18" s="231"/>
      <c r="OZU18" s="229"/>
      <c r="OZV18" s="230"/>
      <c r="OZW18" s="231"/>
      <c r="OZX18" s="232"/>
      <c r="OZY18" s="233"/>
      <c r="OZZ18" s="233"/>
      <c r="PAA18" s="233"/>
      <c r="PAB18" s="233"/>
      <c r="PAC18" s="233"/>
      <c r="PAD18" s="233"/>
      <c r="PAE18" s="231"/>
      <c r="PAF18" s="231"/>
      <c r="PAG18" s="229"/>
      <c r="PAH18" s="230"/>
      <c r="PAI18" s="231"/>
      <c r="PAJ18" s="232"/>
      <c r="PAK18" s="233"/>
      <c r="PAL18" s="233"/>
      <c r="PAM18" s="233"/>
      <c r="PAN18" s="233"/>
      <c r="PAO18" s="233"/>
      <c r="PAP18" s="233"/>
      <c r="PAQ18" s="231"/>
      <c r="PAR18" s="231"/>
      <c r="PAS18" s="229"/>
      <c r="PAT18" s="230"/>
      <c r="PAU18" s="231"/>
      <c r="PAV18" s="232"/>
      <c r="PAW18" s="233"/>
      <c r="PAX18" s="233"/>
      <c r="PAY18" s="233"/>
      <c r="PAZ18" s="233"/>
      <c r="PBA18" s="233"/>
      <c r="PBB18" s="233"/>
      <c r="PBC18" s="231"/>
      <c r="PBD18" s="231"/>
      <c r="PBE18" s="229"/>
      <c r="PBF18" s="230"/>
      <c r="PBG18" s="231"/>
      <c r="PBH18" s="232"/>
      <c r="PBI18" s="233"/>
      <c r="PBJ18" s="233"/>
      <c r="PBK18" s="233"/>
      <c r="PBL18" s="233"/>
      <c r="PBM18" s="233"/>
      <c r="PBN18" s="233"/>
      <c r="PBO18" s="231"/>
      <c r="PBP18" s="231"/>
      <c r="PBQ18" s="229"/>
      <c r="PBR18" s="230"/>
      <c r="PBS18" s="231"/>
      <c r="PBT18" s="232"/>
      <c r="PBU18" s="233"/>
      <c r="PBV18" s="233"/>
      <c r="PBW18" s="233"/>
      <c r="PBX18" s="233"/>
      <c r="PBY18" s="233"/>
      <c r="PBZ18" s="233"/>
      <c r="PCA18" s="231"/>
      <c r="PCB18" s="231"/>
      <c r="PCC18" s="229"/>
      <c r="PCD18" s="230"/>
      <c r="PCE18" s="231"/>
      <c r="PCF18" s="232"/>
      <c r="PCG18" s="233"/>
      <c r="PCH18" s="233"/>
      <c r="PCI18" s="233"/>
      <c r="PCJ18" s="233"/>
      <c r="PCK18" s="233"/>
      <c r="PCL18" s="233"/>
      <c r="PCM18" s="231"/>
      <c r="PCN18" s="231"/>
      <c r="PCO18" s="229"/>
      <c r="PCP18" s="230"/>
      <c r="PCQ18" s="231"/>
      <c r="PCR18" s="232"/>
      <c r="PCS18" s="233"/>
      <c r="PCT18" s="233"/>
      <c r="PCU18" s="233"/>
      <c r="PCV18" s="233"/>
      <c r="PCW18" s="233"/>
      <c r="PCX18" s="233"/>
      <c r="PCY18" s="231"/>
      <c r="PCZ18" s="231"/>
      <c r="PDA18" s="229"/>
      <c r="PDB18" s="230"/>
      <c r="PDC18" s="231"/>
      <c r="PDD18" s="232"/>
      <c r="PDE18" s="233"/>
      <c r="PDF18" s="233"/>
      <c r="PDG18" s="233"/>
      <c r="PDH18" s="233"/>
      <c r="PDI18" s="233"/>
      <c r="PDJ18" s="233"/>
      <c r="PDK18" s="231"/>
      <c r="PDL18" s="231"/>
      <c r="PDM18" s="229"/>
      <c r="PDN18" s="230"/>
      <c r="PDO18" s="231"/>
      <c r="PDP18" s="232"/>
      <c r="PDQ18" s="233"/>
      <c r="PDR18" s="233"/>
      <c r="PDS18" s="233"/>
      <c r="PDT18" s="233"/>
      <c r="PDU18" s="233"/>
      <c r="PDV18" s="233"/>
      <c r="PDW18" s="231"/>
      <c r="PDX18" s="231"/>
      <c r="PDY18" s="229"/>
      <c r="PDZ18" s="230"/>
      <c r="PEA18" s="231"/>
      <c r="PEB18" s="232"/>
      <c r="PEC18" s="233"/>
      <c r="PED18" s="233"/>
      <c r="PEE18" s="233"/>
      <c r="PEF18" s="233"/>
      <c r="PEG18" s="233"/>
      <c r="PEH18" s="233"/>
      <c r="PEI18" s="231"/>
      <c r="PEJ18" s="231"/>
      <c r="PEK18" s="229"/>
      <c r="PEL18" s="230"/>
      <c r="PEM18" s="231"/>
      <c r="PEN18" s="232"/>
      <c r="PEO18" s="233"/>
      <c r="PEP18" s="233"/>
      <c r="PEQ18" s="233"/>
      <c r="PER18" s="233"/>
      <c r="PES18" s="233"/>
      <c r="PET18" s="233"/>
      <c r="PEU18" s="231"/>
      <c r="PEV18" s="231"/>
      <c r="PEW18" s="229"/>
      <c r="PEX18" s="230"/>
      <c r="PEY18" s="231"/>
      <c r="PEZ18" s="232"/>
      <c r="PFA18" s="233"/>
      <c r="PFB18" s="233"/>
      <c r="PFC18" s="233"/>
      <c r="PFD18" s="233"/>
      <c r="PFE18" s="233"/>
      <c r="PFF18" s="233"/>
      <c r="PFG18" s="231"/>
      <c r="PFH18" s="231"/>
      <c r="PFI18" s="229"/>
      <c r="PFJ18" s="230"/>
      <c r="PFK18" s="231"/>
      <c r="PFL18" s="232"/>
      <c r="PFM18" s="233"/>
      <c r="PFN18" s="233"/>
      <c r="PFO18" s="233"/>
      <c r="PFP18" s="233"/>
      <c r="PFQ18" s="233"/>
      <c r="PFR18" s="233"/>
      <c r="PFS18" s="231"/>
      <c r="PFT18" s="231"/>
      <c r="PFU18" s="229"/>
      <c r="PFV18" s="230"/>
      <c r="PFW18" s="231"/>
      <c r="PFX18" s="232"/>
      <c r="PFY18" s="233"/>
      <c r="PFZ18" s="233"/>
      <c r="PGA18" s="233"/>
      <c r="PGB18" s="233"/>
      <c r="PGC18" s="233"/>
      <c r="PGD18" s="233"/>
      <c r="PGE18" s="231"/>
      <c r="PGF18" s="231"/>
      <c r="PGG18" s="229"/>
      <c r="PGH18" s="230"/>
      <c r="PGI18" s="231"/>
      <c r="PGJ18" s="232"/>
      <c r="PGK18" s="233"/>
      <c r="PGL18" s="233"/>
      <c r="PGM18" s="233"/>
      <c r="PGN18" s="233"/>
      <c r="PGO18" s="233"/>
      <c r="PGP18" s="233"/>
      <c r="PGQ18" s="231"/>
      <c r="PGR18" s="231"/>
      <c r="PGS18" s="229"/>
      <c r="PGT18" s="230"/>
      <c r="PGU18" s="231"/>
      <c r="PGV18" s="232"/>
      <c r="PGW18" s="233"/>
      <c r="PGX18" s="233"/>
      <c r="PGY18" s="233"/>
      <c r="PGZ18" s="233"/>
      <c r="PHA18" s="233"/>
      <c r="PHB18" s="233"/>
      <c r="PHC18" s="231"/>
      <c r="PHD18" s="231"/>
      <c r="PHE18" s="229"/>
      <c r="PHF18" s="230"/>
      <c r="PHG18" s="231"/>
      <c r="PHH18" s="232"/>
      <c r="PHI18" s="233"/>
      <c r="PHJ18" s="233"/>
      <c r="PHK18" s="233"/>
      <c r="PHL18" s="233"/>
      <c r="PHM18" s="233"/>
      <c r="PHN18" s="233"/>
      <c r="PHO18" s="231"/>
      <c r="PHP18" s="231"/>
      <c r="PHQ18" s="229"/>
      <c r="PHR18" s="230"/>
      <c r="PHS18" s="231"/>
      <c r="PHT18" s="232"/>
      <c r="PHU18" s="233"/>
      <c r="PHV18" s="233"/>
      <c r="PHW18" s="233"/>
      <c r="PHX18" s="233"/>
      <c r="PHY18" s="233"/>
      <c r="PHZ18" s="233"/>
      <c r="PIA18" s="231"/>
      <c r="PIB18" s="231"/>
      <c r="PIC18" s="229"/>
      <c r="PID18" s="230"/>
      <c r="PIE18" s="231"/>
      <c r="PIF18" s="232"/>
      <c r="PIG18" s="233"/>
      <c r="PIH18" s="233"/>
      <c r="PII18" s="233"/>
      <c r="PIJ18" s="233"/>
      <c r="PIK18" s="233"/>
      <c r="PIL18" s="233"/>
      <c r="PIM18" s="231"/>
      <c r="PIN18" s="231"/>
      <c r="PIO18" s="229"/>
      <c r="PIP18" s="230"/>
      <c r="PIQ18" s="231"/>
      <c r="PIR18" s="232"/>
      <c r="PIS18" s="233"/>
      <c r="PIT18" s="233"/>
      <c r="PIU18" s="233"/>
      <c r="PIV18" s="233"/>
      <c r="PIW18" s="233"/>
      <c r="PIX18" s="233"/>
      <c r="PIY18" s="231"/>
      <c r="PIZ18" s="231"/>
      <c r="PJA18" s="229"/>
      <c r="PJB18" s="230"/>
      <c r="PJC18" s="231"/>
      <c r="PJD18" s="232"/>
      <c r="PJE18" s="233"/>
      <c r="PJF18" s="233"/>
      <c r="PJG18" s="233"/>
      <c r="PJH18" s="233"/>
      <c r="PJI18" s="233"/>
      <c r="PJJ18" s="233"/>
      <c r="PJK18" s="231"/>
      <c r="PJL18" s="231"/>
      <c r="PJM18" s="229"/>
      <c r="PJN18" s="230"/>
      <c r="PJO18" s="231"/>
      <c r="PJP18" s="232"/>
      <c r="PJQ18" s="233"/>
      <c r="PJR18" s="233"/>
      <c r="PJS18" s="233"/>
      <c r="PJT18" s="233"/>
      <c r="PJU18" s="233"/>
      <c r="PJV18" s="233"/>
      <c r="PJW18" s="231"/>
      <c r="PJX18" s="231"/>
      <c r="PJY18" s="229"/>
      <c r="PJZ18" s="230"/>
      <c r="PKA18" s="231"/>
      <c r="PKB18" s="232"/>
      <c r="PKC18" s="233"/>
      <c r="PKD18" s="233"/>
      <c r="PKE18" s="233"/>
      <c r="PKF18" s="233"/>
      <c r="PKG18" s="233"/>
      <c r="PKH18" s="233"/>
      <c r="PKI18" s="231"/>
      <c r="PKJ18" s="231"/>
      <c r="PKK18" s="229"/>
      <c r="PKL18" s="230"/>
      <c r="PKM18" s="231"/>
      <c r="PKN18" s="232"/>
      <c r="PKO18" s="233"/>
      <c r="PKP18" s="233"/>
      <c r="PKQ18" s="233"/>
      <c r="PKR18" s="233"/>
      <c r="PKS18" s="233"/>
      <c r="PKT18" s="233"/>
      <c r="PKU18" s="231"/>
      <c r="PKV18" s="231"/>
      <c r="PKW18" s="229"/>
      <c r="PKX18" s="230"/>
      <c r="PKY18" s="231"/>
      <c r="PKZ18" s="232"/>
      <c r="PLA18" s="233"/>
      <c r="PLB18" s="233"/>
      <c r="PLC18" s="233"/>
      <c r="PLD18" s="233"/>
      <c r="PLE18" s="233"/>
      <c r="PLF18" s="233"/>
      <c r="PLG18" s="231"/>
      <c r="PLH18" s="231"/>
      <c r="PLI18" s="229"/>
      <c r="PLJ18" s="230"/>
      <c r="PLK18" s="231"/>
      <c r="PLL18" s="232"/>
      <c r="PLM18" s="233"/>
      <c r="PLN18" s="233"/>
      <c r="PLO18" s="233"/>
      <c r="PLP18" s="233"/>
      <c r="PLQ18" s="233"/>
      <c r="PLR18" s="233"/>
      <c r="PLS18" s="231"/>
      <c r="PLT18" s="231"/>
      <c r="PLU18" s="229"/>
      <c r="PLV18" s="230"/>
      <c r="PLW18" s="231"/>
      <c r="PLX18" s="232"/>
      <c r="PLY18" s="233"/>
      <c r="PLZ18" s="233"/>
      <c r="PMA18" s="233"/>
      <c r="PMB18" s="233"/>
      <c r="PMC18" s="233"/>
      <c r="PMD18" s="233"/>
      <c r="PME18" s="231"/>
      <c r="PMF18" s="231"/>
      <c r="PMG18" s="229"/>
      <c r="PMH18" s="230"/>
      <c r="PMI18" s="231"/>
      <c r="PMJ18" s="232"/>
      <c r="PMK18" s="233"/>
      <c r="PML18" s="233"/>
      <c r="PMM18" s="233"/>
      <c r="PMN18" s="233"/>
      <c r="PMO18" s="233"/>
      <c r="PMP18" s="233"/>
      <c r="PMQ18" s="231"/>
      <c r="PMR18" s="231"/>
      <c r="PMS18" s="229"/>
      <c r="PMT18" s="230"/>
      <c r="PMU18" s="231"/>
      <c r="PMV18" s="232"/>
      <c r="PMW18" s="233"/>
      <c r="PMX18" s="233"/>
      <c r="PMY18" s="233"/>
      <c r="PMZ18" s="233"/>
      <c r="PNA18" s="233"/>
      <c r="PNB18" s="233"/>
      <c r="PNC18" s="231"/>
      <c r="PND18" s="231"/>
      <c r="PNE18" s="229"/>
      <c r="PNF18" s="230"/>
      <c r="PNG18" s="231"/>
      <c r="PNH18" s="232"/>
      <c r="PNI18" s="233"/>
      <c r="PNJ18" s="233"/>
      <c r="PNK18" s="233"/>
      <c r="PNL18" s="233"/>
      <c r="PNM18" s="233"/>
      <c r="PNN18" s="233"/>
      <c r="PNO18" s="231"/>
      <c r="PNP18" s="231"/>
      <c r="PNQ18" s="229"/>
      <c r="PNR18" s="230"/>
      <c r="PNS18" s="231"/>
      <c r="PNT18" s="232"/>
      <c r="PNU18" s="233"/>
      <c r="PNV18" s="233"/>
      <c r="PNW18" s="233"/>
      <c r="PNX18" s="233"/>
      <c r="PNY18" s="233"/>
      <c r="PNZ18" s="233"/>
      <c r="POA18" s="231"/>
      <c r="POB18" s="231"/>
      <c r="POC18" s="229"/>
      <c r="POD18" s="230"/>
      <c r="POE18" s="231"/>
      <c r="POF18" s="232"/>
      <c r="POG18" s="233"/>
      <c r="POH18" s="233"/>
      <c r="POI18" s="233"/>
      <c r="POJ18" s="233"/>
      <c r="POK18" s="233"/>
      <c r="POL18" s="233"/>
      <c r="POM18" s="231"/>
      <c r="PON18" s="231"/>
      <c r="POO18" s="229"/>
      <c r="POP18" s="230"/>
      <c r="POQ18" s="231"/>
      <c r="POR18" s="232"/>
      <c r="POS18" s="233"/>
      <c r="POT18" s="233"/>
      <c r="POU18" s="233"/>
      <c r="POV18" s="233"/>
      <c r="POW18" s="233"/>
      <c r="POX18" s="233"/>
      <c r="POY18" s="231"/>
      <c r="POZ18" s="231"/>
      <c r="PPA18" s="229"/>
      <c r="PPB18" s="230"/>
      <c r="PPC18" s="231"/>
      <c r="PPD18" s="232"/>
      <c r="PPE18" s="233"/>
      <c r="PPF18" s="233"/>
      <c r="PPG18" s="233"/>
      <c r="PPH18" s="233"/>
      <c r="PPI18" s="233"/>
      <c r="PPJ18" s="233"/>
      <c r="PPK18" s="231"/>
      <c r="PPL18" s="231"/>
      <c r="PPM18" s="229"/>
      <c r="PPN18" s="230"/>
      <c r="PPO18" s="231"/>
      <c r="PPP18" s="232"/>
      <c r="PPQ18" s="233"/>
      <c r="PPR18" s="233"/>
      <c r="PPS18" s="233"/>
      <c r="PPT18" s="233"/>
      <c r="PPU18" s="233"/>
      <c r="PPV18" s="233"/>
      <c r="PPW18" s="231"/>
      <c r="PPX18" s="231"/>
      <c r="PPY18" s="229"/>
      <c r="PPZ18" s="230"/>
      <c r="PQA18" s="231"/>
      <c r="PQB18" s="232"/>
      <c r="PQC18" s="233"/>
      <c r="PQD18" s="233"/>
      <c r="PQE18" s="233"/>
      <c r="PQF18" s="233"/>
      <c r="PQG18" s="233"/>
      <c r="PQH18" s="233"/>
      <c r="PQI18" s="231"/>
      <c r="PQJ18" s="231"/>
      <c r="PQK18" s="229"/>
      <c r="PQL18" s="230"/>
      <c r="PQM18" s="231"/>
      <c r="PQN18" s="232"/>
      <c r="PQO18" s="233"/>
      <c r="PQP18" s="233"/>
      <c r="PQQ18" s="233"/>
      <c r="PQR18" s="233"/>
      <c r="PQS18" s="233"/>
      <c r="PQT18" s="233"/>
      <c r="PQU18" s="231"/>
      <c r="PQV18" s="231"/>
      <c r="PQW18" s="229"/>
      <c r="PQX18" s="230"/>
      <c r="PQY18" s="231"/>
      <c r="PQZ18" s="232"/>
      <c r="PRA18" s="233"/>
      <c r="PRB18" s="233"/>
      <c r="PRC18" s="233"/>
      <c r="PRD18" s="233"/>
      <c r="PRE18" s="233"/>
      <c r="PRF18" s="233"/>
      <c r="PRG18" s="231"/>
      <c r="PRH18" s="231"/>
      <c r="PRI18" s="229"/>
      <c r="PRJ18" s="230"/>
      <c r="PRK18" s="231"/>
      <c r="PRL18" s="232"/>
      <c r="PRM18" s="233"/>
      <c r="PRN18" s="233"/>
      <c r="PRO18" s="233"/>
      <c r="PRP18" s="233"/>
      <c r="PRQ18" s="233"/>
      <c r="PRR18" s="233"/>
      <c r="PRS18" s="231"/>
      <c r="PRT18" s="231"/>
      <c r="PRU18" s="229"/>
      <c r="PRV18" s="230"/>
      <c r="PRW18" s="231"/>
      <c r="PRX18" s="232"/>
      <c r="PRY18" s="233"/>
      <c r="PRZ18" s="233"/>
      <c r="PSA18" s="233"/>
      <c r="PSB18" s="233"/>
      <c r="PSC18" s="233"/>
      <c r="PSD18" s="233"/>
      <c r="PSE18" s="231"/>
      <c r="PSF18" s="231"/>
      <c r="PSG18" s="229"/>
      <c r="PSH18" s="230"/>
      <c r="PSI18" s="231"/>
      <c r="PSJ18" s="232"/>
      <c r="PSK18" s="233"/>
      <c r="PSL18" s="233"/>
      <c r="PSM18" s="233"/>
      <c r="PSN18" s="233"/>
      <c r="PSO18" s="233"/>
      <c r="PSP18" s="233"/>
      <c r="PSQ18" s="231"/>
      <c r="PSR18" s="231"/>
      <c r="PSS18" s="229"/>
      <c r="PST18" s="230"/>
      <c r="PSU18" s="231"/>
      <c r="PSV18" s="232"/>
      <c r="PSW18" s="233"/>
      <c r="PSX18" s="233"/>
      <c r="PSY18" s="233"/>
      <c r="PSZ18" s="233"/>
      <c r="PTA18" s="233"/>
      <c r="PTB18" s="233"/>
      <c r="PTC18" s="231"/>
      <c r="PTD18" s="231"/>
      <c r="PTE18" s="229"/>
      <c r="PTF18" s="230"/>
      <c r="PTG18" s="231"/>
      <c r="PTH18" s="232"/>
      <c r="PTI18" s="233"/>
      <c r="PTJ18" s="233"/>
      <c r="PTK18" s="233"/>
      <c r="PTL18" s="233"/>
      <c r="PTM18" s="233"/>
      <c r="PTN18" s="233"/>
      <c r="PTO18" s="231"/>
      <c r="PTP18" s="231"/>
      <c r="PTQ18" s="229"/>
      <c r="PTR18" s="230"/>
      <c r="PTS18" s="231"/>
      <c r="PTT18" s="232"/>
      <c r="PTU18" s="233"/>
      <c r="PTV18" s="233"/>
      <c r="PTW18" s="233"/>
      <c r="PTX18" s="233"/>
      <c r="PTY18" s="233"/>
      <c r="PTZ18" s="233"/>
      <c r="PUA18" s="231"/>
      <c r="PUB18" s="231"/>
      <c r="PUC18" s="229"/>
      <c r="PUD18" s="230"/>
      <c r="PUE18" s="231"/>
      <c r="PUF18" s="232"/>
      <c r="PUG18" s="233"/>
      <c r="PUH18" s="233"/>
      <c r="PUI18" s="233"/>
      <c r="PUJ18" s="233"/>
      <c r="PUK18" s="233"/>
      <c r="PUL18" s="233"/>
      <c r="PUM18" s="231"/>
      <c r="PUN18" s="231"/>
      <c r="PUO18" s="229"/>
      <c r="PUP18" s="230"/>
      <c r="PUQ18" s="231"/>
      <c r="PUR18" s="232"/>
      <c r="PUS18" s="233"/>
      <c r="PUT18" s="233"/>
      <c r="PUU18" s="233"/>
      <c r="PUV18" s="233"/>
      <c r="PUW18" s="233"/>
      <c r="PUX18" s="233"/>
      <c r="PUY18" s="231"/>
      <c r="PUZ18" s="231"/>
      <c r="PVA18" s="229"/>
      <c r="PVB18" s="230"/>
      <c r="PVC18" s="231"/>
      <c r="PVD18" s="232"/>
      <c r="PVE18" s="233"/>
      <c r="PVF18" s="233"/>
      <c r="PVG18" s="233"/>
      <c r="PVH18" s="233"/>
      <c r="PVI18" s="233"/>
      <c r="PVJ18" s="233"/>
      <c r="PVK18" s="231"/>
      <c r="PVL18" s="231"/>
      <c r="PVM18" s="229"/>
      <c r="PVN18" s="230"/>
      <c r="PVO18" s="231"/>
      <c r="PVP18" s="232"/>
      <c r="PVQ18" s="233"/>
      <c r="PVR18" s="233"/>
      <c r="PVS18" s="233"/>
      <c r="PVT18" s="233"/>
      <c r="PVU18" s="233"/>
      <c r="PVV18" s="233"/>
      <c r="PVW18" s="231"/>
      <c r="PVX18" s="231"/>
      <c r="PVY18" s="229"/>
      <c r="PVZ18" s="230"/>
      <c r="PWA18" s="231"/>
      <c r="PWB18" s="232"/>
      <c r="PWC18" s="233"/>
      <c r="PWD18" s="233"/>
      <c r="PWE18" s="233"/>
      <c r="PWF18" s="233"/>
      <c r="PWG18" s="233"/>
      <c r="PWH18" s="233"/>
      <c r="PWI18" s="231"/>
      <c r="PWJ18" s="231"/>
      <c r="PWK18" s="229"/>
      <c r="PWL18" s="230"/>
      <c r="PWM18" s="231"/>
      <c r="PWN18" s="232"/>
      <c r="PWO18" s="233"/>
      <c r="PWP18" s="233"/>
      <c r="PWQ18" s="233"/>
      <c r="PWR18" s="233"/>
      <c r="PWS18" s="233"/>
      <c r="PWT18" s="233"/>
      <c r="PWU18" s="231"/>
      <c r="PWV18" s="231"/>
      <c r="PWW18" s="229"/>
      <c r="PWX18" s="230"/>
      <c r="PWY18" s="231"/>
      <c r="PWZ18" s="232"/>
      <c r="PXA18" s="233"/>
      <c r="PXB18" s="233"/>
      <c r="PXC18" s="233"/>
      <c r="PXD18" s="233"/>
      <c r="PXE18" s="233"/>
      <c r="PXF18" s="233"/>
      <c r="PXG18" s="231"/>
      <c r="PXH18" s="231"/>
      <c r="PXI18" s="229"/>
      <c r="PXJ18" s="230"/>
      <c r="PXK18" s="231"/>
      <c r="PXL18" s="232"/>
      <c r="PXM18" s="233"/>
      <c r="PXN18" s="233"/>
      <c r="PXO18" s="233"/>
      <c r="PXP18" s="233"/>
      <c r="PXQ18" s="233"/>
      <c r="PXR18" s="233"/>
      <c r="PXS18" s="231"/>
      <c r="PXT18" s="231"/>
      <c r="PXU18" s="229"/>
      <c r="PXV18" s="230"/>
      <c r="PXW18" s="231"/>
      <c r="PXX18" s="232"/>
      <c r="PXY18" s="233"/>
      <c r="PXZ18" s="233"/>
      <c r="PYA18" s="233"/>
      <c r="PYB18" s="233"/>
      <c r="PYC18" s="233"/>
      <c r="PYD18" s="233"/>
      <c r="PYE18" s="231"/>
      <c r="PYF18" s="231"/>
      <c r="PYG18" s="229"/>
      <c r="PYH18" s="230"/>
      <c r="PYI18" s="231"/>
      <c r="PYJ18" s="232"/>
      <c r="PYK18" s="233"/>
      <c r="PYL18" s="233"/>
      <c r="PYM18" s="233"/>
      <c r="PYN18" s="233"/>
      <c r="PYO18" s="233"/>
      <c r="PYP18" s="233"/>
      <c r="PYQ18" s="231"/>
      <c r="PYR18" s="231"/>
      <c r="PYS18" s="229"/>
      <c r="PYT18" s="230"/>
      <c r="PYU18" s="231"/>
      <c r="PYV18" s="232"/>
      <c r="PYW18" s="233"/>
      <c r="PYX18" s="233"/>
      <c r="PYY18" s="233"/>
      <c r="PYZ18" s="233"/>
      <c r="PZA18" s="233"/>
      <c r="PZB18" s="233"/>
      <c r="PZC18" s="231"/>
      <c r="PZD18" s="231"/>
      <c r="PZE18" s="229"/>
      <c r="PZF18" s="230"/>
      <c r="PZG18" s="231"/>
      <c r="PZH18" s="232"/>
      <c r="PZI18" s="233"/>
      <c r="PZJ18" s="233"/>
      <c r="PZK18" s="233"/>
      <c r="PZL18" s="233"/>
      <c r="PZM18" s="233"/>
      <c r="PZN18" s="233"/>
      <c r="PZO18" s="231"/>
      <c r="PZP18" s="231"/>
      <c r="PZQ18" s="229"/>
      <c r="PZR18" s="230"/>
      <c r="PZS18" s="231"/>
      <c r="PZT18" s="232"/>
      <c r="PZU18" s="233"/>
      <c r="PZV18" s="233"/>
      <c r="PZW18" s="233"/>
      <c r="PZX18" s="233"/>
      <c r="PZY18" s="233"/>
      <c r="PZZ18" s="233"/>
      <c r="QAA18" s="231"/>
      <c r="QAB18" s="231"/>
      <c r="QAC18" s="229"/>
      <c r="QAD18" s="230"/>
      <c r="QAE18" s="231"/>
      <c r="QAF18" s="232"/>
      <c r="QAG18" s="233"/>
      <c r="QAH18" s="233"/>
      <c r="QAI18" s="233"/>
      <c r="QAJ18" s="233"/>
      <c r="QAK18" s="233"/>
      <c r="QAL18" s="233"/>
      <c r="QAM18" s="231"/>
      <c r="QAN18" s="231"/>
      <c r="QAO18" s="229"/>
      <c r="QAP18" s="230"/>
      <c r="QAQ18" s="231"/>
      <c r="QAR18" s="232"/>
      <c r="QAS18" s="233"/>
      <c r="QAT18" s="233"/>
      <c r="QAU18" s="233"/>
      <c r="QAV18" s="233"/>
      <c r="QAW18" s="233"/>
      <c r="QAX18" s="233"/>
      <c r="QAY18" s="231"/>
      <c r="QAZ18" s="231"/>
      <c r="QBA18" s="229"/>
      <c r="QBB18" s="230"/>
      <c r="QBC18" s="231"/>
      <c r="QBD18" s="232"/>
      <c r="QBE18" s="233"/>
      <c r="QBF18" s="233"/>
      <c r="QBG18" s="233"/>
      <c r="QBH18" s="233"/>
      <c r="QBI18" s="233"/>
      <c r="QBJ18" s="233"/>
      <c r="QBK18" s="231"/>
      <c r="QBL18" s="231"/>
      <c r="QBM18" s="229"/>
      <c r="QBN18" s="230"/>
      <c r="QBO18" s="231"/>
      <c r="QBP18" s="232"/>
      <c r="QBQ18" s="233"/>
      <c r="QBR18" s="233"/>
      <c r="QBS18" s="233"/>
      <c r="QBT18" s="233"/>
      <c r="QBU18" s="233"/>
      <c r="QBV18" s="233"/>
      <c r="QBW18" s="231"/>
      <c r="QBX18" s="231"/>
      <c r="QBY18" s="229"/>
      <c r="QBZ18" s="230"/>
      <c r="QCA18" s="231"/>
      <c r="QCB18" s="232"/>
      <c r="QCC18" s="233"/>
      <c r="QCD18" s="233"/>
      <c r="QCE18" s="233"/>
      <c r="QCF18" s="233"/>
      <c r="QCG18" s="233"/>
      <c r="QCH18" s="233"/>
      <c r="QCI18" s="231"/>
      <c r="QCJ18" s="231"/>
      <c r="QCK18" s="229"/>
      <c r="QCL18" s="230"/>
      <c r="QCM18" s="231"/>
      <c r="QCN18" s="232"/>
      <c r="QCO18" s="233"/>
      <c r="QCP18" s="233"/>
      <c r="QCQ18" s="233"/>
      <c r="QCR18" s="233"/>
      <c r="QCS18" s="233"/>
      <c r="QCT18" s="233"/>
      <c r="QCU18" s="231"/>
      <c r="QCV18" s="231"/>
      <c r="QCW18" s="229"/>
      <c r="QCX18" s="230"/>
      <c r="QCY18" s="231"/>
      <c r="QCZ18" s="232"/>
      <c r="QDA18" s="233"/>
      <c r="QDB18" s="233"/>
      <c r="QDC18" s="233"/>
      <c r="QDD18" s="233"/>
      <c r="QDE18" s="233"/>
      <c r="QDF18" s="233"/>
      <c r="QDG18" s="231"/>
      <c r="QDH18" s="231"/>
      <c r="QDI18" s="229"/>
      <c r="QDJ18" s="230"/>
      <c r="QDK18" s="231"/>
      <c r="QDL18" s="232"/>
      <c r="QDM18" s="233"/>
      <c r="QDN18" s="233"/>
      <c r="QDO18" s="233"/>
      <c r="QDP18" s="233"/>
      <c r="QDQ18" s="233"/>
      <c r="QDR18" s="233"/>
      <c r="QDS18" s="231"/>
      <c r="QDT18" s="231"/>
      <c r="QDU18" s="229"/>
      <c r="QDV18" s="230"/>
      <c r="QDW18" s="231"/>
      <c r="QDX18" s="232"/>
      <c r="QDY18" s="233"/>
      <c r="QDZ18" s="233"/>
      <c r="QEA18" s="233"/>
      <c r="QEB18" s="233"/>
      <c r="QEC18" s="233"/>
      <c r="QED18" s="233"/>
      <c r="QEE18" s="231"/>
      <c r="QEF18" s="231"/>
      <c r="QEG18" s="229"/>
      <c r="QEH18" s="230"/>
      <c r="QEI18" s="231"/>
      <c r="QEJ18" s="232"/>
      <c r="QEK18" s="233"/>
      <c r="QEL18" s="233"/>
      <c r="QEM18" s="233"/>
      <c r="QEN18" s="233"/>
      <c r="QEO18" s="233"/>
      <c r="QEP18" s="233"/>
      <c r="QEQ18" s="231"/>
      <c r="QER18" s="231"/>
      <c r="QES18" s="229"/>
      <c r="QET18" s="230"/>
      <c r="QEU18" s="231"/>
      <c r="QEV18" s="232"/>
      <c r="QEW18" s="233"/>
      <c r="QEX18" s="233"/>
      <c r="QEY18" s="233"/>
      <c r="QEZ18" s="233"/>
      <c r="QFA18" s="233"/>
      <c r="QFB18" s="233"/>
      <c r="QFC18" s="231"/>
      <c r="QFD18" s="231"/>
      <c r="QFE18" s="229"/>
      <c r="QFF18" s="230"/>
      <c r="QFG18" s="231"/>
      <c r="QFH18" s="232"/>
      <c r="QFI18" s="233"/>
      <c r="QFJ18" s="233"/>
      <c r="QFK18" s="233"/>
      <c r="QFL18" s="233"/>
      <c r="QFM18" s="233"/>
      <c r="QFN18" s="233"/>
      <c r="QFO18" s="231"/>
      <c r="QFP18" s="231"/>
      <c r="QFQ18" s="229"/>
      <c r="QFR18" s="230"/>
      <c r="QFS18" s="231"/>
      <c r="QFT18" s="232"/>
      <c r="QFU18" s="233"/>
      <c r="QFV18" s="233"/>
      <c r="QFW18" s="233"/>
      <c r="QFX18" s="233"/>
      <c r="QFY18" s="233"/>
      <c r="QFZ18" s="233"/>
      <c r="QGA18" s="231"/>
      <c r="QGB18" s="231"/>
      <c r="QGC18" s="229"/>
      <c r="QGD18" s="230"/>
      <c r="QGE18" s="231"/>
      <c r="QGF18" s="232"/>
      <c r="QGG18" s="233"/>
      <c r="QGH18" s="233"/>
      <c r="QGI18" s="233"/>
      <c r="QGJ18" s="233"/>
      <c r="QGK18" s="233"/>
      <c r="QGL18" s="233"/>
      <c r="QGM18" s="231"/>
      <c r="QGN18" s="231"/>
      <c r="QGO18" s="229"/>
      <c r="QGP18" s="230"/>
      <c r="QGQ18" s="231"/>
      <c r="QGR18" s="232"/>
      <c r="QGS18" s="233"/>
      <c r="QGT18" s="233"/>
      <c r="QGU18" s="233"/>
      <c r="QGV18" s="233"/>
      <c r="QGW18" s="233"/>
      <c r="QGX18" s="233"/>
      <c r="QGY18" s="231"/>
      <c r="QGZ18" s="231"/>
      <c r="QHA18" s="229"/>
      <c r="QHB18" s="230"/>
      <c r="QHC18" s="231"/>
      <c r="QHD18" s="232"/>
      <c r="QHE18" s="233"/>
      <c r="QHF18" s="233"/>
      <c r="QHG18" s="233"/>
      <c r="QHH18" s="233"/>
      <c r="QHI18" s="233"/>
      <c r="QHJ18" s="233"/>
      <c r="QHK18" s="231"/>
      <c r="QHL18" s="231"/>
      <c r="QHM18" s="229"/>
      <c r="QHN18" s="230"/>
      <c r="QHO18" s="231"/>
      <c r="QHP18" s="232"/>
      <c r="QHQ18" s="233"/>
      <c r="QHR18" s="233"/>
      <c r="QHS18" s="233"/>
      <c r="QHT18" s="233"/>
      <c r="QHU18" s="233"/>
      <c r="QHV18" s="233"/>
      <c r="QHW18" s="231"/>
      <c r="QHX18" s="231"/>
      <c r="QHY18" s="229"/>
      <c r="QHZ18" s="230"/>
      <c r="QIA18" s="231"/>
      <c r="QIB18" s="232"/>
      <c r="QIC18" s="233"/>
      <c r="QID18" s="233"/>
      <c r="QIE18" s="233"/>
      <c r="QIF18" s="233"/>
      <c r="QIG18" s="233"/>
      <c r="QIH18" s="233"/>
      <c r="QII18" s="231"/>
      <c r="QIJ18" s="231"/>
      <c r="QIK18" s="229"/>
      <c r="QIL18" s="230"/>
      <c r="QIM18" s="231"/>
      <c r="QIN18" s="232"/>
      <c r="QIO18" s="233"/>
      <c r="QIP18" s="233"/>
      <c r="QIQ18" s="233"/>
      <c r="QIR18" s="233"/>
      <c r="QIS18" s="233"/>
      <c r="QIT18" s="233"/>
      <c r="QIU18" s="231"/>
      <c r="QIV18" s="231"/>
      <c r="QIW18" s="229"/>
      <c r="QIX18" s="230"/>
      <c r="QIY18" s="231"/>
      <c r="QIZ18" s="232"/>
      <c r="QJA18" s="233"/>
      <c r="QJB18" s="233"/>
      <c r="QJC18" s="233"/>
      <c r="QJD18" s="233"/>
      <c r="QJE18" s="233"/>
      <c r="QJF18" s="233"/>
      <c r="QJG18" s="231"/>
      <c r="QJH18" s="231"/>
      <c r="QJI18" s="229"/>
      <c r="QJJ18" s="230"/>
      <c r="QJK18" s="231"/>
      <c r="QJL18" s="232"/>
      <c r="QJM18" s="233"/>
      <c r="QJN18" s="233"/>
      <c r="QJO18" s="233"/>
      <c r="QJP18" s="233"/>
      <c r="QJQ18" s="233"/>
      <c r="QJR18" s="233"/>
      <c r="QJS18" s="231"/>
      <c r="QJT18" s="231"/>
      <c r="QJU18" s="229"/>
      <c r="QJV18" s="230"/>
      <c r="QJW18" s="231"/>
      <c r="QJX18" s="232"/>
      <c r="QJY18" s="233"/>
      <c r="QJZ18" s="233"/>
      <c r="QKA18" s="233"/>
      <c r="QKB18" s="233"/>
      <c r="QKC18" s="233"/>
      <c r="QKD18" s="233"/>
      <c r="QKE18" s="231"/>
      <c r="QKF18" s="231"/>
      <c r="QKG18" s="229"/>
      <c r="QKH18" s="230"/>
      <c r="QKI18" s="231"/>
      <c r="QKJ18" s="232"/>
      <c r="QKK18" s="233"/>
      <c r="QKL18" s="233"/>
      <c r="QKM18" s="233"/>
      <c r="QKN18" s="233"/>
      <c r="QKO18" s="233"/>
      <c r="QKP18" s="233"/>
      <c r="QKQ18" s="231"/>
      <c r="QKR18" s="231"/>
      <c r="QKS18" s="229"/>
      <c r="QKT18" s="230"/>
      <c r="QKU18" s="231"/>
      <c r="QKV18" s="232"/>
      <c r="QKW18" s="233"/>
      <c r="QKX18" s="233"/>
      <c r="QKY18" s="233"/>
      <c r="QKZ18" s="233"/>
      <c r="QLA18" s="233"/>
      <c r="QLB18" s="233"/>
      <c r="QLC18" s="231"/>
      <c r="QLD18" s="231"/>
      <c r="QLE18" s="229"/>
      <c r="QLF18" s="230"/>
      <c r="QLG18" s="231"/>
      <c r="QLH18" s="232"/>
      <c r="QLI18" s="233"/>
      <c r="QLJ18" s="233"/>
      <c r="QLK18" s="233"/>
      <c r="QLL18" s="233"/>
      <c r="QLM18" s="233"/>
      <c r="QLN18" s="233"/>
      <c r="QLO18" s="231"/>
      <c r="QLP18" s="231"/>
      <c r="QLQ18" s="229"/>
      <c r="QLR18" s="230"/>
      <c r="QLS18" s="231"/>
      <c r="QLT18" s="232"/>
      <c r="QLU18" s="233"/>
      <c r="QLV18" s="233"/>
      <c r="QLW18" s="233"/>
      <c r="QLX18" s="233"/>
      <c r="QLY18" s="233"/>
      <c r="QLZ18" s="233"/>
      <c r="QMA18" s="231"/>
      <c r="QMB18" s="231"/>
      <c r="QMC18" s="229"/>
      <c r="QMD18" s="230"/>
      <c r="QME18" s="231"/>
      <c r="QMF18" s="232"/>
      <c r="QMG18" s="233"/>
      <c r="QMH18" s="233"/>
      <c r="QMI18" s="233"/>
      <c r="QMJ18" s="233"/>
      <c r="QMK18" s="233"/>
      <c r="QML18" s="233"/>
      <c r="QMM18" s="231"/>
      <c r="QMN18" s="231"/>
      <c r="QMO18" s="229"/>
      <c r="QMP18" s="230"/>
      <c r="QMQ18" s="231"/>
      <c r="QMR18" s="232"/>
      <c r="QMS18" s="233"/>
      <c r="QMT18" s="233"/>
      <c r="QMU18" s="233"/>
      <c r="QMV18" s="233"/>
      <c r="QMW18" s="233"/>
      <c r="QMX18" s="233"/>
      <c r="QMY18" s="231"/>
      <c r="QMZ18" s="231"/>
      <c r="QNA18" s="229"/>
      <c r="QNB18" s="230"/>
      <c r="QNC18" s="231"/>
      <c r="QND18" s="232"/>
      <c r="QNE18" s="233"/>
      <c r="QNF18" s="233"/>
      <c r="QNG18" s="233"/>
      <c r="QNH18" s="233"/>
      <c r="QNI18" s="233"/>
      <c r="QNJ18" s="233"/>
      <c r="QNK18" s="231"/>
      <c r="QNL18" s="231"/>
      <c r="QNM18" s="229"/>
      <c r="QNN18" s="230"/>
      <c r="QNO18" s="231"/>
      <c r="QNP18" s="232"/>
      <c r="QNQ18" s="233"/>
      <c r="QNR18" s="233"/>
      <c r="QNS18" s="233"/>
      <c r="QNT18" s="233"/>
      <c r="QNU18" s="233"/>
      <c r="QNV18" s="233"/>
      <c r="QNW18" s="231"/>
      <c r="QNX18" s="231"/>
      <c r="QNY18" s="229"/>
      <c r="QNZ18" s="230"/>
      <c r="QOA18" s="231"/>
      <c r="QOB18" s="232"/>
      <c r="QOC18" s="233"/>
      <c r="QOD18" s="233"/>
      <c r="QOE18" s="233"/>
      <c r="QOF18" s="233"/>
      <c r="QOG18" s="233"/>
      <c r="QOH18" s="233"/>
      <c r="QOI18" s="231"/>
      <c r="QOJ18" s="231"/>
      <c r="QOK18" s="229"/>
      <c r="QOL18" s="230"/>
      <c r="QOM18" s="231"/>
      <c r="QON18" s="232"/>
      <c r="QOO18" s="233"/>
      <c r="QOP18" s="233"/>
      <c r="QOQ18" s="233"/>
      <c r="QOR18" s="233"/>
      <c r="QOS18" s="233"/>
      <c r="QOT18" s="233"/>
      <c r="QOU18" s="231"/>
      <c r="QOV18" s="231"/>
      <c r="QOW18" s="229"/>
      <c r="QOX18" s="230"/>
      <c r="QOY18" s="231"/>
      <c r="QOZ18" s="232"/>
      <c r="QPA18" s="233"/>
      <c r="QPB18" s="233"/>
      <c r="QPC18" s="233"/>
      <c r="QPD18" s="233"/>
      <c r="QPE18" s="233"/>
      <c r="QPF18" s="233"/>
      <c r="QPG18" s="231"/>
      <c r="QPH18" s="231"/>
      <c r="QPI18" s="229"/>
      <c r="QPJ18" s="230"/>
      <c r="QPK18" s="231"/>
      <c r="QPL18" s="232"/>
      <c r="QPM18" s="233"/>
      <c r="QPN18" s="233"/>
      <c r="QPO18" s="233"/>
      <c r="QPP18" s="233"/>
      <c r="QPQ18" s="233"/>
      <c r="QPR18" s="233"/>
      <c r="QPS18" s="231"/>
      <c r="QPT18" s="231"/>
      <c r="QPU18" s="229"/>
      <c r="QPV18" s="230"/>
      <c r="QPW18" s="231"/>
      <c r="QPX18" s="232"/>
      <c r="QPY18" s="233"/>
      <c r="QPZ18" s="233"/>
      <c r="QQA18" s="233"/>
      <c r="QQB18" s="233"/>
      <c r="QQC18" s="233"/>
      <c r="QQD18" s="233"/>
      <c r="QQE18" s="231"/>
      <c r="QQF18" s="231"/>
      <c r="QQG18" s="229"/>
      <c r="QQH18" s="230"/>
      <c r="QQI18" s="231"/>
      <c r="QQJ18" s="232"/>
      <c r="QQK18" s="233"/>
      <c r="QQL18" s="233"/>
      <c r="QQM18" s="233"/>
      <c r="QQN18" s="233"/>
      <c r="QQO18" s="233"/>
      <c r="QQP18" s="233"/>
      <c r="QQQ18" s="231"/>
      <c r="QQR18" s="231"/>
      <c r="QQS18" s="229"/>
      <c r="QQT18" s="230"/>
      <c r="QQU18" s="231"/>
      <c r="QQV18" s="232"/>
      <c r="QQW18" s="233"/>
      <c r="QQX18" s="233"/>
      <c r="QQY18" s="233"/>
      <c r="QQZ18" s="233"/>
      <c r="QRA18" s="233"/>
      <c r="QRB18" s="233"/>
      <c r="QRC18" s="231"/>
      <c r="QRD18" s="231"/>
      <c r="QRE18" s="229"/>
      <c r="QRF18" s="230"/>
      <c r="QRG18" s="231"/>
      <c r="QRH18" s="232"/>
      <c r="QRI18" s="233"/>
      <c r="QRJ18" s="233"/>
      <c r="QRK18" s="233"/>
      <c r="QRL18" s="233"/>
      <c r="QRM18" s="233"/>
      <c r="QRN18" s="233"/>
      <c r="QRO18" s="231"/>
      <c r="QRP18" s="231"/>
      <c r="QRQ18" s="229"/>
      <c r="QRR18" s="230"/>
      <c r="QRS18" s="231"/>
      <c r="QRT18" s="232"/>
      <c r="QRU18" s="233"/>
      <c r="QRV18" s="233"/>
      <c r="QRW18" s="233"/>
      <c r="QRX18" s="233"/>
      <c r="QRY18" s="233"/>
      <c r="QRZ18" s="233"/>
      <c r="QSA18" s="231"/>
      <c r="QSB18" s="231"/>
      <c r="QSC18" s="229"/>
      <c r="QSD18" s="230"/>
      <c r="QSE18" s="231"/>
      <c r="QSF18" s="232"/>
      <c r="QSG18" s="233"/>
      <c r="QSH18" s="233"/>
      <c r="QSI18" s="233"/>
      <c r="QSJ18" s="233"/>
      <c r="QSK18" s="233"/>
      <c r="QSL18" s="233"/>
      <c r="QSM18" s="231"/>
      <c r="QSN18" s="231"/>
      <c r="QSO18" s="229"/>
      <c r="QSP18" s="230"/>
      <c r="QSQ18" s="231"/>
      <c r="QSR18" s="232"/>
      <c r="QSS18" s="233"/>
      <c r="QST18" s="233"/>
      <c r="QSU18" s="233"/>
      <c r="QSV18" s="233"/>
      <c r="QSW18" s="233"/>
      <c r="QSX18" s="233"/>
      <c r="QSY18" s="231"/>
      <c r="QSZ18" s="231"/>
      <c r="QTA18" s="229"/>
      <c r="QTB18" s="230"/>
      <c r="QTC18" s="231"/>
      <c r="QTD18" s="232"/>
      <c r="QTE18" s="233"/>
      <c r="QTF18" s="233"/>
      <c r="QTG18" s="233"/>
      <c r="QTH18" s="233"/>
      <c r="QTI18" s="233"/>
      <c r="QTJ18" s="233"/>
      <c r="QTK18" s="231"/>
      <c r="QTL18" s="231"/>
      <c r="QTM18" s="229"/>
      <c r="QTN18" s="230"/>
      <c r="QTO18" s="231"/>
      <c r="QTP18" s="232"/>
      <c r="QTQ18" s="233"/>
      <c r="QTR18" s="233"/>
      <c r="QTS18" s="233"/>
      <c r="QTT18" s="233"/>
      <c r="QTU18" s="233"/>
      <c r="QTV18" s="233"/>
      <c r="QTW18" s="231"/>
      <c r="QTX18" s="231"/>
      <c r="QTY18" s="229"/>
      <c r="QTZ18" s="230"/>
      <c r="QUA18" s="231"/>
      <c r="QUB18" s="232"/>
      <c r="QUC18" s="233"/>
      <c r="QUD18" s="233"/>
      <c r="QUE18" s="233"/>
      <c r="QUF18" s="233"/>
      <c r="QUG18" s="233"/>
      <c r="QUH18" s="233"/>
      <c r="QUI18" s="231"/>
      <c r="QUJ18" s="231"/>
      <c r="QUK18" s="229"/>
      <c r="QUL18" s="230"/>
      <c r="QUM18" s="231"/>
      <c r="QUN18" s="232"/>
      <c r="QUO18" s="233"/>
      <c r="QUP18" s="233"/>
      <c r="QUQ18" s="233"/>
      <c r="QUR18" s="233"/>
      <c r="QUS18" s="233"/>
      <c r="QUT18" s="233"/>
      <c r="QUU18" s="231"/>
      <c r="QUV18" s="231"/>
      <c r="QUW18" s="229"/>
      <c r="QUX18" s="230"/>
      <c r="QUY18" s="231"/>
      <c r="QUZ18" s="232"/>
      <c r="QVA18" s="233"/>
      <c r="QVB18" s="233"/>
      <c r="QVC18" s="233"/>
      <c r="QVD18" s="233"/>
      <c r="QVE18" s="233"/>
      <c r="QVF18" s="233"/>
      <c r="QVG18" s="231"/>
      <c r="QVH18" s="231"/>
      <c r="QVI18" s="229"/>
      <c r="QVJ18" s="230"/>
      <c r="QVK18" s="231"/>
      <c r="QVL18" s="232"/>
      <c r="QVM18" s="233"/>
      <c r="QVN18" s="233"/>
      <c r="QVO18" s="233"/>
      <c r="QVP18" s="233"/>
      <c r="QVQ18" s="233"/>
      <c r="QVR18" s="233"/>
      <c r="QVS18" s="231"/>
      <c r="QVT18" s="231"/>
      <c r="QVU18" s="229"/>
      <c r="QVV18" s="230"/>
      <c r="QVW18" s="231"/>
      <c r="QVX18" s="232"/>
      <c r="QVY18" s="233"/>
      <c r="QVZ18" s="233"/>
      <c r="QWA18" s="233"/>
      <c r="QWB18" s="233"/>
      <c r="QWC18" s="233"/>
      <c r="QWD18" s="233"/>
      <c r="QWE18" s="231"/>
      <c r="QWF18" s="231"/>
      <c r="QWG18" s="229"/>
      <c r="QWH18" s="230"/>
      <c r="QWI18" s="231"/>
      <c r="QWJ18" s="232"/>
      <c r="QWK18" s="233"/>
      <c r="QWL18" s="233"/>
      <c r="QWM18" s="233"/>
      <c r="QWN18" s="233"/>
      <c r="QWO18" s="233"/>
      <c r="QWP18" s="233"/>
      <c r="QWQ18" s="231"/>
      <c r="QWR18" s="231"/>
      <c r="QWS18" s="229"/>
      <c r="QWT18" s="230"/>
      <c r="QWU18" s="231"/>
      <c r="QWV18" s="232"/>
      <c r="QWW18" s="233"/>
      <c r="QWX18" s="233"/>
      <c r="QWY18" s="233"/>
      <c r="QWZ18" s="233"/>
      <c r="QXA18" s="233"/>
      <c r="QXB18" s="233"/>
      <c r="QXC18" s="231"/>
      <c r="QXD18" s="231"/>
      <c r="QXE18" s="229"/>
      <c r="QXF18" s="230"/>
      <c r="QXG18" s="231"/>
      <c r="QXH18" s="232"/>
      <c r="QXI18" s="233"/>
      <c r="QXJ18" s="233"/>
      <c r="QXK18" s="233"/>
      <c r="QXL18" s="233"/>
      <c r="QXM18" s="233"/>
      <c r="QXN18" s="233"/>
      <c r="QXO18" s="231"/>
      <c r="QXP18" s="231"/>
      <c r="QXQ18" s="229"/>
      <c r="QXR18" s="230"/>
      <c r="QXS18" s="231"/>
      <c r="QXT18" s="232"/>
      <c r="QXU18" s="233"/>
      <c r="QXV18" s="233"/>
      <c r="QXW18" s="233"/>
      <c r="QXX18" s="233"/>
      <c r="QXY18" s="233"/>
      <c r="QXZ18" s="233"/>
      <c r="QYA18" s="231"/>
      <c r="QYB18" s="231"/>
      <c r="QYC18" s="229"/>
      <c r="QYD18" s="230"/>
      <c r="QYE18" s="231"/>
      <c r="QYF18" s="232"/>
      <c r="QYG18" s="233"/>
      <c r="QYH18" s="233"/>
      <c r="QYI18" s="233"/>
      <c r="QYJ18" s="233"/>
      <c r="QYK18" s="233"/>
      <c r="QYL18" s="233"/>
      <c r="QYM18" s="231"/>
      <c r="QYN18" s="231"/>
      <c r="QYO18" s="229"/>
      <c r="QYP18" s="230"/>
      <c r="QYQ18" s="231"/>
      <c r="QYR18" s="232"/>
      <c r="QYS18" s="233"/>
      <c r="QYT18" s="233"/>
      <c r="QYU18" s="233"/>
      <c r="QYV18" s="233"/>
      <c r="QYW18" s="233"/>
      <c r="QYX18" s="233"/>
      <c r="QYY18" s="231"/>
      <c r="QYZ18" s="231"/>
      <c r="QZA18" s="229"/>
      <c r="QZB18" s="230"/>
      <c r="QZC18" s="231"/>
      <c r="QZD18" s="232"/>
      <c r="QZE18" s="233"/>
      <c r="QZF18" s="233"/>
      <c r="QZG18" s="233"/>
      <c r="QZH18" s="233"/>
      <c r="QZI18" s="233"/>
      <c r="QZJ18" s="233"/>
      <c r="QZK18" s="231"/>
      <c r="QZL18" s="231"/>
      <c r="QZM18" s="229"/>
      <c r="QZN18" s="230"/>
      <c r="QZO18" s="231"/>
      <c r="QZP18" s="232"/>
      <c r="QZQ18" s="233"/>
      <c r="QZR18" s="233"/>
      <c r="QZS18" s="233"/>
      <c r="QZT18" s="233"/>
      <c r="QZU18" s="233"/>
      <c r="QZV18" s="233"/>
      <c r="QZW18" s="231"/>
      <c r="QZX18" s="231"/>
      <c r="QZY18" s="229"/>
      <c r="QZZ18" s="230"/>
      <c r="RAA18" s="231"/>
      <c r="RAB18" s="232"/>
      <c r="RAC18" s="233"/>
      <c r="RAD18" s="233"/>
      <c r="RAE18" s="233"/>
      <c r="RAF18" s="233"/>
      <c r="RAG18" s="233"/>
      <c r="RAH18" s="233"/>
      <c r="RAI18" s="231"/>
      <c r="RAJ18" s="231"/>
      <c r="RAK18" s="229"/>
      <c r="RAL18" s="230"/>
      <c r="RAM18" s="231"/>
      <c r="RAN18" s="232"/>
      <c r="RAO18" s="233"/>
      <c r="RAP18" s="233"/>
      <c r="RAQ18" s="233"/>
      <c r="RAR18" s="233"/>
      <c r="RAS18" s="233"/>
      <c r="RAT18" s="233"/>
      <c r="RAU18" s="231"/>
      <c r="RAV18" s="231"/>
      <c r="RAW18" s="229"/>
      <c r="RAX18" s="230"/>
      <c r="RAY18" s="231"/>
      <c r="RAZ18" s="232"/>
      <c r="RBA18" s="233"/>
      <c r="RBB18" s="233"/>
      <c r="RBC18" s="233"/>
      <c r="RBD18" s="233"/>
      <c r="RBE18" s="233"/>
      <c r="RBF18" s="233"/>
      <c r="RBG18" s="231"/>
      <c r="RBH18" s="231"/>
      <c r="RBI18" s="229"/>
      <c r="RBJ18" s="230"/>
      <c r="RBK18" s="231"/>
      <c r="RBL18" s="232"/>
      <c r="RBM18" s="233"/>
      <c r="RBN18" s="233"/>
      <c r="RBO18" s="233"/>
      <c r="RBP18" s="233"/>
      <c r="RBQ18" s="233"/>
      <c r="RBR18" s="233"/>
      <c r="RBS18" s="231"/>
      <c r="RBT18" s="231"/>
      <c r="RBU18" s="229"/>
      <c r="RBV18" s="230"/>
      <c r="RBW18" s="231"/>
      <c r="RBX18" s="232"/>
      <c r="RBY18" s="233"/>
      <c r="RBZ18" s="233"/>
      <c r="RCA18" s="233"/>
      <c r="RCB18" s="233"/>
      <c r="RCC18" s="233"/>
      <c r="RCD18" s="233"/>
      <c r="RCE18" s="231"/>
      <c r="RCF18" s="231"/>
      <c r="RCG18" s="229"/>
      <c r="RCH18" s="230"/>
      <c r="RCI18" s="231"/>
      <c r="RCJ18" s="232"/>
      <c r="RCK18" s="233"/>
      <c r="RCL18" s="233"/>
      <c r="RCM18" s="233"/>
      <c r="RCN18" s="233"/>
      <c r="RCO18" s="233"/>
      <c r="RCP18" s="233"/>
      <c r="RCQ18" s="231"/>
      <c r="RCR18" s="231"/>
      <c r="RCS18" s="229"/>
      <c r="RCT18" s="230"/>
      <c r="RCU18" s="231"/>
      <c r="RCV18" s="232"/>
      <c r="RCW18" s="233"/>
      <c r="RCX18" s="233"/>
      <c r="RCY18" s="233"/>
      <c r="RCZ18" s="233"/>
      <c r="RDA18" s="233"/>
      <c r="RDB18" s="233"/>
      <c r="RDC18" s="231"/>
      <c r="RDD18" s="231"/>
      <c r="RDE18" s="229"/>
      <c r="RDF18" s="230"/>
      <c r="RDG18" s="231"/>
      <c r="RDH18" s="232"/>
      <c r="RDI18" s="233"/>
      <c r="RDJ18" s="233"/>
      <c r="RDK18" s="233"/>
      <c r="RDL18" s="233"/>
      <c r="RDM18" s="233"/>
      <c r="RDN18" s="233"/>
      <c r="RDO18" s="231"/>
      <c r="RDP18" s="231"/>
      <c r="RDQ18" s="229"/>
      <c r="RDR18" s="230"/>
      <c r="RDS18" s="231"/>
      <c r="RDT18" s="232"/>
      <c r="RDU18" s="233"/>
      <c r="RDV18" s="233"/>
      <c r="RDW18" s="233"/>
      <c r="RDX18" s="233"/>
      <c r="RDY18" s="233"/>
      <c r="RDZ18" s="233"/>
      <c r="REA18" s="231"/>
      <c r="REB18" s="231"/>
      <c r="REC18" s="229"/>
      <c r="RED18" s="230"/>
      <c r="REE18" s="231"/>
      <c r="REF18" s="232"/>
      <c r="REG18" s="233"/>
      <c r="REH18" s="233"/>
      <c r="REI18" s="233"/>
      <c r="REJ18" s="233"/>
      <c r="REK18" s="233"/>
      <c r="REL18" s="233"/>
      <c r="REM18" s="231"/>
      <c r="REN18" s="231"/>
      <c r="REO18" s="229"/>
      <c r="REP18" s="230"/>
      <c r="REQ18" s="231"/>
      <c r="RER18" s="232"/>
      <c r="RES18" s="233"/>
      <c r="RET18" s="233"/>
      <c r="REU18" s="233"/>
      <c r="REV18" s="233"/>
      <c r="REW18" s="233"/>
      <c r="REX18" s="233"/>
      <c r="REY18" s="231"/>
      <c r="REZ18" s="231"/>
      <c r="RFA18" s="229"/>
      <c r="RFB18" s="230"/>
      <c r="RFC18" s="231"/>
      <c r="RFD18" s="232"/>
      <c r="RFE18" s="233"/>
      <c r="RFF18" s="233"/>
      <c r="RFG18" s="233"/>
      <c r="RFH18" s="233"/>
      <c r="RFI18" s="233"/>
      <c r="RFJ18" s="233"/>
      <c r="RFK18" s="231"/>
      <c r="RFL18" s="231"/>
      <c r="RFM18" s="229"/>
      <c r="RFN18" s="230"/>
      <c r="RFO18" s="231"/>
      <c r="RFP18" s="232"/>
      <c r="RFQ18" s="233"/>
      <c r="RFR18" s="233"/>
      <c r="RFS18" s="233"/>
      <c r="RFT18" s="233"/>
      <c r="RFU18" s="233"/>
      <c r="RFV18" s="233"/>
      <c r="RFW18" s="231"/>
      <c r="RFX18" s="231"/>
      <c r="RFY18" s="229"/>
      <c r="RFZ18" s="230"/>
      <c r="RGA18" s="231"/>
      <c r="RGB18" s="232"/>
      <c r="RGC18" s="233"/>
      <c r="RGD18" s="233"/>
      <c r="RGE18" s="233"/>
      <c r="RGF18" s="233"/>
      <c r="RGG18" s="233"/>
      <c r="RGH18" s="233"/>
      <c r="RGI18" s="231"/>
      <c r="RGJ18" s="231"/>
      <c r="RGK18" s="229"/>
      <c r="RGL18" s="230"/>
      <c r="RGM18" s="231"/>
      <c r="RGN18" s="232"/>
      <c r="RGO18" s="233"/>
      <c r="RGP18" s="233"/>
      <c r="RGQ18" s="233"/>
      <c r="RGR18" s="233"/>
      <c r="RGS18" s="233"/>
      <c r="RGT18" s="233"/>
      <c r="RGU18" s="231"/>
      <c r="RGV18" s="231"/>
      <c r="RGW18" s="229"/>
      <c r="RGX18" s="230"/>
      <c r="RGY18" s="231"/>
      <c r="RGZ18" s="232"/>
      <c r="RHA18" s="233"/>
      <c r="RHB18" s="233"/>
      <c r="RHC18" s="233"/>
      <c r="RHD18" s="233"/>
      <c r="RHE18" s="233"/>
      <c r="RHF18" s="233"/>
      <c r="RHG18" s="231"/>
      <c r="RHH18" s="231"/>
      <c r="RHI18" s="229"/>
      <c r="RHJ18" s="230"/>
      <c r="RHK18" s="231"/>
      <c r="RHL18" s="232"/>
      <c r="RHM18" s="233"/>
      <c r="RHN18" s="233"/>
      <c r="RHO18" s="233"/>
      <c r="RHP18" s="233"/>
      <c r="RHQ18" s="233"/>
      <c r="RHR18" s="233"/>
      <c r="RHS18" s="231"/>
      <c r="RHT18" s="231"/>
      <c r="RHU18" s="229"/>
      <c r="RHV18" s="230"/>
      <c r="RHW18" s="231"/>
      <c r="RHX18" s="232"/>
      <c r="RHY18" s="233"/>
      <c r="RHZ18" s="233"/>
      <c r="RIA18" s="233"/>
      <c r="RIB18" s="233"/>
      <c r="RIC18" s="233"/>
      <c r="RID18" s="233"/>
      <c r="RIE18" s="231"/>
      <c r="RIF18" s="231"/>
      <c r="RIG18" s="229"/>
      <c r="RIH18" s="230"/>
      <c r="RII18" s="231"/>
      <c r="RIJ18" s="232"/>
      <c r="RIK18" s="233"/>
      <c r="RIL18" s="233"/>
      <c r="RIM18" s="233"/>
      <c r="RIN18" s="233"/>
      <c r="RIO18" s="233"/>
      <c r="RIP18" s="233"/>
      <c r="RIQ18" s="231"/>
      <c r="RIR18" s="231"/>
      <c r="RIS18" s="229"/>
      <c r="RIT18" s="230"/>
      <c r="RIU18" s="231"/>
      <c r="RIV18" s="232"/>
      <c r="RIW18" s="233"/>
      <c r="RIX18" s="233"/>
      <c r="RIY18" s="233"/>
      <c r="RIZ18" s="233"/>
      <c r="RJA18" s="233"/>
      <c r="RJB18" s="233"/>
      <c r="RJC18" s="231"/>
      <c r="RJD18" s="231"/>
      <c r="RJE18" s="229"/>
      <c r="RJF18" s="230"/>
      <c r="RJG18" s="231"/>
      <c r="RJH18" s="232"/>
      <c r="RJI18" s="233"/>
      <c r="RJJ18" s="233"/>
      <c r="RJK18" s="233"/>
      <c r="RJL18" s="233"/>
      <c r="RJM18" s="233"/>
      <c r="RJN18" s="233"/>
      <c r="RJO18" s="231"/>
      <c r="RJP18" s="231"/>
      <c r="RJQ18" s="229"/>
      <c r="RJR18" s="230"/>
      <c r="RJS18" s="231"/>
      <c r="RJT18" s="232"/>
      <c r="RJU18" s="233"/>
      <c r="RJV18" s="233"/>
      <c r="RJW18" s="233"/>
      <c r="RJX18" s="233"/>
      <c r="RJY18" s="233"/>
      <c r="RJZ18" s="233"/>
      <c r="RKA18" s="231"/>
      <c r="RKB18" s="231"/>
      <c r="RKC18" s="229"/>
      <c r="RKD18" s="230"/>
      <c r="RKE18" s="231"/>
      <c r="RKF18" s="232"/>
      <c r="RKG18" s="233"/>
      <c r="RKH18" s="233"/>
      <c r="RKI18" s="233"/>
      <c r="RKJ18" s="233"/>
      <c r="RKK18" s="233"/>
      <c r="RKL18" s="233"/>
      <c r="RKM18" s="231"/>
      <c r="RKN18" s="231"/>
      <c r="RKO18" s="229"/>
      <c r="RKP18" s="230"/>
      <c r="RKQ18" s="231"/>
      <c r="RKR18" s="232"/>
      <c r="RKS18" s="233"/>
      <c r="RKT18" s="233"/>
      <c r="RKU18" s="233"/>
      <c r="RKV18" s="233"/>
      <c r="RKW18" s="233"/>
      <c r="RKX18" s="233"/>
      <c r="RKY18" s="231"/>
      <c r="RKZ18" s="231"/>
      <c r="RLA18" s="229"/>
      <c r="RLB18" s="230"/>
      <c r="RLC18" s="231"/>
      <c r="RLD18" s="232"/>
      <c r="RLE18" s="233"/>
      <c r="RLF18" s="233"/>
      <c r="RLG18" s="233"/>
      <c r="RLH18" s="233"/>
      <c r="RLI18" s="233"/>
      <c r="RLJ18" s="233"/>
      <c r="RLK18" s="231"/>
      <c r="RLL18" s="231"/>
      <c r="RLM18" s="229"/>
      <c r="RLN18" s="230"/>
      <c r="RLO18" s="231"/>
      <c r="RLP18" s="232"/>
      <c r="RLQ18" s="233"/>
      <c r="RLR18" s="233"/>
      <c r="RLS18" s="233"/>
      <c r="RLT18" s="233"/>
      <c r="RLU18" s="233"/>
      <c r="RLV18" s="233"/>
      <c r="RLW18" s="231"/>
      <c r="RLX18" s="231"/>
      <c r="RLY18" s="229"/>
      <c r="RLZ18" s="230"/>
      <c r="RMA18" s="231"/>
      <c r="RMB18" s="232"/>
      <c r="RMC18" s="233"/>
      <c r="RMD18" s="233"/>
      <c r="RME18" s="233"/>
      <c r="RMF18" s="233"/>
      <c r="RMG18" s="233"/>
      <c r="RMH18" s="233"/>
      <c r="RMI18" s="231"/>
      <c r="RMJ18" s="231"/>
      <c r="RMK18" s="229"/>
      <c r="RML18" s="230"/>
      <c r="RMM18" s="231"/>
      <c r="RMN18" s="232"/>
      <c r="RMO18" s="233"/>
      <c r="RMP18" s="233"/>
      <c r="RMQ18" s="233"/>
      <c r="RMR18" s="233"/>
      <c r="RMS18" s="233"/>
      <c r="RMT18" s="233"/>
      <c r="RMU18" s="231"/>
      <c r="RMV18" s="231"/>
      <c r="RMW18" s="229"/>
      <c r="RMX18" s="230"/>
      <c r="RMY18" s="231"/>
      <c r="RMZ18" s="232"/>
      <c r="RNA18" s="233"/>
      <c r="RNB18" s="233"/>
      <c r="RNC18" s="233"/>
      <c r="RND18" s="233"/>
      <c r="RNE18" s="233"/>
      <c r="RNF18" s="233"/>
      <c r="RNG18" s="231"/>
      <c r="RNH18" s="231"/>
      <c r="RNI18" s="229"/>
      <c r="RNJ18" s="230"/>
      <c r="RNK18" s="231"/>
      <c r="RNL18" s="232"/>
      <c r="RNM18" s="233"/>
      <c r="RNN18" s="233"/>
      <c r="RNO18" s="233"/>
      <c r="RNP18" s="233"/>
      <c r="RNQ18" s="233"/>
      <c r="RNR18" s="233"/>
      <c r="RNS18" s="231"/>
      <c r="RNT18" s="231"/>
      <c r="RNU18" s="229"/>
      <c r="RNV18" s="230"/>
      <c r="RNW18" s="231"/>
      <c r="RNX18" s="232"/>
      <c r="RNY18" s="233"/>
      <c r="RNZ18" s="233"/>
      <c r="ROA18" s="233"/>
      <c r="ROB18" s="233"/>
      <c r="ROC18" s="233"/>
      <c r="ROD18" s="233"/>
      <c r="ROE18" s="231"/>
      <c r="ROF18" s="231"/>
      <c r="ROG18" s="229"/>
      <c r="ROH18" s="230"/>
      <c r="ROI18" s="231"/>
      <c r="ROJ18" s="232"/>
      <c r="ROK18" s="233"/>
      <c r="ROL18" s="233"/>
      <c r="ROM18" s="233"/>
      <c r="RON18" s="233"/>
      <c r="ROO18" s="233"/>
      <c r="ROP18" s="233"/>
      <c r="ROQ18" s="231"/>
      <c r="ROR18" s="231"/>
      <c r="ROS18" s="229"/>
      <c r="ROT18" s="230"/>
      <c r="ROU18" s="231"/>
      <c r="ROV18" s="232"/>
      <c r="ROW18" s="233"/>
      <c r="ROX18" s="233"/>
      <c r="ROY18" s="233"/>
      <c r="ROZ18" s="233"/>
      <c r="RPA18" s="233"/>
      <c r="RPB18" s="233"/>
      <c r="RPC18" s="231"/>
      <c r="RPD18" s="231"/>
      <c r="RPE18" s="229"/>
      <c r="RPF18" s="230"/>
      <c r="RPG18" s="231"/>
      <c r="RPH18" s="232"/>
      <c r="RPI18" s="233"/>
      <c r="RPJ18" s="233"/>
      <c r="RPK18" s="233"/>
      <c r="RPL18" s="233"/>
      <c r="RPM18" s="233"/>
      <c r="RPN18" s="233"/>
      <c r="RPO18" s="231"/>
      <c r="RPP18" s="231"/>
      <c r="RPQ18" s="229"/>
      <c r="RPR18" s="230"/>
      <c r="RPS18" s="231"/>
      <c r="RPT18" s="232"/>
      <c r="RPU18" s="233"/>
      <c r="RPV18" s="233"/>
      <c r="RPW18" s="233"/>
      <c r="RPX18" s="233"/>
      <c r="RPY18" s="233"/>
      <c r="RPZ18" s="233"/>
      <c r="RQA18" s="231"/>
      <c r="RQB18" s="231"/>
      <c r="RQC18" s="229"/>
      <c r="RQD18" s="230"/>
      <c r="RQE18" s="231"/>
      <c r="RQF18" s="232"/>
      <c r="RQG18" s="233"/>
      <c r="RQH18" s="233"/>
      <c r="RQI18" s="233"/>
      <c r="RQJ18" s="233"/>
      <c r="RQK18" s="233"/>
      <c r="RQL18" s="233"/>
      <c r="RQM18" s="231"/>
      <c r="RQN18" s="231"/>
      <c r="RQO18" s="229"/>
      <c r="RQP18" s="230"/>
      <c r="RQQ18" s="231"/>
      <c r="RQR18" s="232"/>
      <c r="RQS18" s="233"/>
      <c r="RQT18" s="233"/>
      <c r="RQU18" s="233"/>
      <c r="RQV18" s="233"/>
      <c r="RQW18" s="233"/>
      <c r="RQX18" s="233"/>
      <c r="RQY18" s="231"/>
      <c r="RQZ18" s="231"/>
      <c r="RRA18" s="229"/>
      <c r="RRB18" s="230"/>
      <c r="RRC18" s="231"/>
      <c r="RRD18" s="232"/>
      <c r="RRE18" s="233"/>
      <c r="RRF18" s="233"/>
      <c r="RRG18" s="233"/>
      <c r="RRH18" s="233"/>
      <c r="RRI18" s="233"/>
      <c r="RRJ18" s="233"/>
      <c r="RRK18" s="231"/>
      <c r="RRL18" s="231"/>
      <c r="RRM18" s="229"/>
      <c r="RRN18" s="230"/>
      <c r="RRO18" s="231"/>
      <c r="RRP18" s="232"/>
      <c r="RRQ18" s="233"/>
      <c r="RRR18" s="233"/>
      <c r="RRS18" s="233"/>
      <c r="RRT18" s="233"/>
      <c r="RRU18" s="233"/>
      <c r="RRV18" s="233"/>
      <c r="RRW18" s="231"/>
      <c r="RRX18" s="231"/>
      <c r="RRY18" s="229"/>
      <c r="RRZ18" s="230"/>
      <c r="RSA18" s="231"/>
      <c r="RSB18" s="232"/>
      <c r="RSC18" s="233"/>
      <c r="RSD18" s="233"/>
      <c r="RSE18" s="233"/>
      <c r="RSF18" s="233"/>
      <c r="RSG18" s="233"/>
      <c r="RSH18" s="233"/>
      <c r="RSI18" s="231"/>
      <c r="RSJ18" s="231"/>
      <c r="RSK18" s="229"/>
      <c r="RSL18" s="230"/>
      <c r="RSM18" s="231"/>
      <c r="RSN18" s="232"/>
      <c r="RSO18" s="233"/>
      <c r="RSP18" s="233"/>
      <c r="RSQ18" s="233"/>
      <c r="RSR18" s="233"/>
      <c r="RSS18" s="233"/>
      <c r="RST18" s="233"/>
      <c r="RSU18" s="231"/>
      <c r="RSV18" s="231"/>
      <c r="RSW18" s="229"/>
      <c r="RSX18" s="230"/>
      <c r="RSY18" s="231"/>
      <c r="RSZ18" s="232"/>
      <c r="RTA18" s="233"/>
      <c r="RTB18" s="233"/>
      <c r="RTC18" s="233"/>
      <c r="RTD18" s="233"/>
      <c r="RTE18" s="233"/>
      <c r="RTF18" s="233"/>
      <c r="RTG18" s="231"/>
      <c r="RTH18" s="231"/>
      <c r="RTI18" s="229"/>
      <c r="RTJ18" s="230"/>
      <c r="RTK18" s="231"/>
      <c r="RTL18" s="232"/>
      <c r="RTM18" s="233"/>
      <c r="RTN18" s="233"/>
      <c r="RTO18" s="233"/>
      <c r="RTP18" s="233"/>
      <c r="RTQ18" s="233"/>
      <c r="RTR18" s="233"/>
      <c r="RTS18" s="231"/>
      <c r="RTT18" s="231"/>
      <c r="RTU18" s="229"/>
      <c r="RTV18" s="230"/>
      <c r="RTW18" s="231"/>
      <c r="RTX18" s="232"/>
      <c r="RTY18" s="233"/>
      <c r="RTZ18" s="233"/>
      <c r="RUA18" s="233"/>
      <c r="RUB18" s="233"/>
      <c r="RUC18" s="233"/>
      <c r="RUD18" s="233"/>
      <c r="RUE18" s="231"/>
      <c r="RUF18" s="231"/>
      <c r="RUG18" s="229"/>
      <c r="RUH18" s="230"/>
      <c r="RUI18" s="231"/>
      <c r="RUJ18" s="232"/>
      <c r="RUK18" s="233"/>
      <c r="RUL18" s="233"/>
      <c r="RUM18" s="233"/>
      <c r="RUN18" s="233"/>
      <c r="RUO18" s="233"/>
      <c r="RUP18" s="233"/>
      <c r="RUQ18" s="231"/>
      <c r="RUR18" s="231"/>
      <c r="RUS18" s="229"/>
      <c r="RUT18" s="230"/>
      <c r="RUU18" s="231"/>
      <c r="RUV18" s="232"/>
      <c r="RUW18" s="233"/>
      <c r="RUX18" s="233"/>
      <c r="RUY18" s="233"/>
      <c r="RUZ18" s="233"/>
      <c r="RVA18" s="233"/>
      <c r="RVB18" s="233"/>
      <c r="RVC18" s="231"/>
      <c r="RVD18" s="231"/>
      <c r="RVE18" s="229"/>
      <c r="RVF18" s="230"/>
      <c r="RVG18" s="231"/>
      <c r="RVH18" s="232"/>
      <c r="RVI18" s="233"/>
      <c r="RVJ18" s="233"/>
      <c r="RVK18" s="233"/>
      <c r="RVL18" s="233"/>
      <c r="RVM18" s="233"/>
      <c r="RVN18" s="233"/>
      <c r="RVO18" s="231"/>
      <c r="RVP18" s="231"/>
      <c r="RVQ18" s="229"/>
      <c r="RVR18" s="230"/>
      <c r="RVS18" s="231"/>
      <c r="RVT18" s="232"/>
      <c r="RVU18" s="233"/>
      <c r="RVV18" s="233"/>
      <c r="RVW18" s="233"/>
      <c r="RVX18" s="233"/>
      <c r="RVY18" s="233"/>
      <c r="RVZ18" s="233"/>
      <c r="RWA18" s="231"/>
      <c r="RWB18" s="231"/>
      <c r="RWC18" s="229"/>
      <c r="RWD18" s="230"/>
      <c r="RWE18" s="231"/>
      <c r="RWF18" s="232"/>
      <c r="RWG18" s="233"/>
      <c r="RWH18" s="233"/>
      <c r="RWI18" s="233"/>
      <c r="RWJ18" s="233"/>
      <c r="RWK18" s="233"/>
      <c r="RWL18" s="233"/>
      <c r="RWM18" s="231"/>
      <c r="RWN18" s="231"/>
      <c r="RWO18" s="229"/>
      <c r="RWP18" s="230"/>
      <c r="RWQ18" s="231"/>
      <c r="RWR18" s="232"/>
      <c r="RWS18" s="233"/>
      <c r="RWT18" s="233"/>
      <c r="RWU18" s="233"/>
      <c r="RWV18" s="233"/>
      <c r="RWW18" s="233"/>
      <c r="RWX18" s="233"/>
      <c r="RWY18" s="231"/>
      <c r="RWZ18" s="231"/>
      <c r="RXA18" s="229"/>
      <c r="RXB18" s="230"/>
      <c r="RXC18" s="231"/>
      <c r="RXD18" s="232"/>
      <c r="RXE18" s="233"/>
      <c r="RXF18" s="233"/>
      <c r="RXG18" s="233"/>
      <c r="RXH18" s="233"/>
      <c r="RXI18" s="233"/>
      <c r="RXJ18" s="233"/>
      <c r="RXK18" s="231"/>
      <c r="RXL18" s="231"/>
      <c r="RXM18" s="229"/>
      <c r="RXN18" s="230"/>
      <c r="RXO18" s="231"/>
      <c r="RXP18" s="232"/>
      <c r="RXQ18" s="233"/>
      <c r="RXR18" s="233"/>
      <c r="RXS18" s="233"/>
      <c r="RXT18" s="233"/>
      <c r="RXU18" s="233"/>
      <c r="RXV18" s="233"/>
      <c r="RXW18" s="231"/>
      <c r="RXX18" s="231"/>
      <c r="RXY18" s="229"/>
      <c r="RXZ18" s="230"/>
      <c r="RYA18" s="231"/>
      <c r="RYB18" s="232"/>
      <c r="RYC18" s="233"/>
      <c r="RYD18" s="233"/>
      <c r="RYE18" s="233"/>
      <c r="RYF18" s="233"/>
      <c r="RYG18" s="233"/>
      <c r="RYH18" s="233"/>
      <c r="RYI18" s="231"/>
      <c r="RYJ18" s="231"/>
      <c r="RYK18" s="229"/>
      <c r="RYL18" s="230"/>
      <c r="RYM18" s="231"/>
      <c r="RYN18" s="232"/>
      <c r="RYO18" s="233"/>
      <c r="RYP18" s="233"/>
      <c r="RYQ18" s="233"/>
      <c r="RYR18" s="233"/>
      <c r="RYS18" s="233"/>
      <c r="RYT18" s="233"/>
      <c r="RYU18" s="231"/>
      <c r="RYV18" s="231"/>
      <c r="RYW18" s="229"/>
      <c r="RYX18" s="230"/>
      <c r="RYY18" s="231"/>
      <c r="RYZ18" s="232"/>
      <c r="RZA18" s="233"/>
      <c r="RZB18" s="233"/>
      <c r="RZC18" s="233"/>
      <c r="RZD18" s="233"/>
      <c r="RZE18" s="233"/>
      <c r="RZF18" s="233"/>
      <c r="RZG18" s="231"/>
      <c r="RZH18" s="231"/>
      <c r="RZI18" s="229"/>
      <c r="RZJ18" s="230"/>
      <c r="RZK18" s="231"/>
      <c r="RZL18" s="232"/>
      <c r="RZM18" s="233"/>
      <c r="RZN18" s="233"/>
      <c r="RZO18" s="233"/>
      <c r="RZP18" s="233"/>
      <c r="RZQ18" s="233"/>
      <c r="RZR18" s="233"/>
      <c r="RZS18" s="231"/>
      <c r="RZT18" s="231"/>
      <c r="RZU18" s="229"/>
      <c r="RZV18" s="230"/>
      <c r="RZW18" s="231"/>
      <c r="RZX18" s="232"/>
      <c r="RZY18" s="233"/>
      <c r="RZZ18" s="233"/>
      <c r="SAA18" s="233"/>
      <c r="SAB18" s="233"/>
      <c r="SAC18" s="233"/>
      <c r="SAD18" s="233"/>
      <c r="SAE18" s="231"/>
      <c r="SAF18" s="231"/>
      <c r="SAG18" s="229"/>
      <c r="SAH18" s="230"/>
      <c r="SAI18" s="231"/>
      <c r="SAJ18" s="232"/>
      <c r="SAK18" s="233"/>
      <c r="SAL18" s="233"/>
      <c r="SAM18" s="233"/>
      <c r="SAN18" s="233"/>
      <c r="SAO18" s="233"/>
      <c r="SAP18" s="233"/>
      <c r="SAQ18" s="231"/>
      <c r="SAR18" s="231"/>
      <c r="SAS18" s="229"/>
      <c r="SAT18" s="230"/>
      <c r="SAU18" s="231"/>
      <c r="SAV18" s="232"/>
      <c r="SAW18" s="233"/>
      <c r="SAX18" s="233"/>
      <c r="SAY18" s="233"/>
      <c r="SAZ18" s="233"/>
      <c r="SBA18" s="233"/>
      <c r="SBB18" s="233"/>
      <c r="SBC18" s="231"/>
      <c r="SBD18" s="231"/>
      <c r="SBE18" s="229"/>
      <c r="SBF18" s="230"/>
      <c r="SBG18" s="231"/>
      <c r="SBH18" s="232"/>
      <c r="SBI18" s="233"/>
      <c r="SBJ18" s="233"/>
      <c r="SBK18" s="233"/>
      <c r="SBL18" s="233"/>
      <c r="SBM18" s="233"/>
      <c r="SBN18" s="233"/>
      <c r="SBO18" s="231"/>
      <c r="SBP18" s="231"/>
      <c r="SBQ18" s="229"/>
      <c r="SBR18" s="230"/>
      <c r="SBS18" s="231"/>
      <c r="SBT18" s="232"/>
      <c r="SBU18" s="233"/>
      <c r="SBV18" s="233"/>
      <c r="SBW18" s="233"/>
      <c r="SBX18" s="233"/>
      <c r="SBY18" s="233"/>
      <c r="SBZ18" s="233"/>
      <c r="SCA18" s="231"/>
      <c r="SCB18" s="231"/>
      <c r="SCC18" s="229"/>
      <c r="SCD18" s="230"/>
      <c r="SCE18" s="231"/>
      <c r="SCF18" s="232"/>
      <c r="SCG18" s="233"/>
      <c r="SCH18" s="233"/>
      <c r="SCI18" s="233"/>
      <c r="SCJ18" s="233"/>
      <c r="SCK18" s="233"/>
      <c r="SCL18" s="233"/>
      <c r="SCM18" s="231"/>
      <c r="SCN18" s="231"/>
      <c r="SCO18" s="229"/>
      <c r="SCP18" s="230"/>
      <c r="SCQ18" s="231"/>
      <c r="SCR18" s="232"/>
      <c r="SCS18" s="233"/>
      <c r="SCT18" s="233"/>
      <c r="SCU18" s="233"/>
      <c r="SCV18" s="233"/>
      <c r="SCW18" s="233"/>
      <c r="SCX18" s="233"/>
      <c r="SCY18" s="231"/>
      <c r="SCZ18" s="231"/>
      <c r="SDA18" s="229"/>
      <c r="SDB18" s="230"/>
      <c r="SDC18" s="231"/>
      <c r="SDD18" s="232"/>
      <c r="SDE18" s="233"/>
      <c r="SDF18" s="233"/>
      <c r="SDG18" s="233"/>
      <c r="SDH18" s="233"/>
      <c r="SDI18" s="233"/>
      <c r="SDJ18" s="233"/>
      <c r="SDK18" s="231"/>
      <c r="SDL18" s="231"/>
      <c r="SDM18" s="229"/>
      <c r="SDN18" s="230"/>
      <c r="SDO18" s="231"/>
      <c r="SDP18" s="232"/>
      <c r="SDQ18" s="233"/>
      <c r="SDR18" s="233"/>
      <c r="SDS18" s="233"/>
      <c r="SDT18" s="233"/>
      <c r="SDU18" s="233"/>
      <c r="SDV18" s="233"/>
      <c r="SDW18" s="231"/>
      <c r="SDX18" s="231"/>
      <c r="SDY18" s="229"/>
      <c r="SDZ18" s="230"/>
      <c r="SEA18" s="231"/>
      <c r="SEB18" s="232"/>
      <c r="SEC18" s="233"/>
      <c r="SED18" s="233"/>
      <c r="SEE18" s="233"/>
      <c r="SEF18" s="233"/>
      <c r="SEG18" s="233"/>
      <c r="SEH18" s="233"/>
      <c r="SEI18" s="231"/>
      <c r="SEJ18" s="231"/>
      <c r="SEK18" s="229"/>
      <c r="SEL18" s="230"/>
      <c r="SEM18" s="231"/>
      <c r="SEN18" s="232"/>
      <c r="SEO18" s="233"/>
      <c r="SEP18" s="233"/>
      <c r="SEQ18" s="233"/>
      <c r="SER18" s="233"/>
      <c r="SES18" s="233"/>
      <c r="SET18" s="233"/>
      <c r="SEU18" s="231"/>
      <c r="SEV18" s="231"/>
      <c r="SEW18" s="229"/>
      <c r="SEX18" s="230"/>
      <c r="SEY18" s="231"/>
      <c r="SEZ18" s="232"/>
      <c r="SFA18" s="233"/>
      <c r="SFB18" s="233"/>
      <c r="SFC18" s="233"/>
      <c r="SFD18" s="233"/>
      <c r="SFE18" s="233"/>
      <c r="SFF18" s="233"/>
      <c r="SFG18" s="231"/>
      <c r="SFH18" s="231"/>
      <c r="SFI18" s="229"/>
      <c r="SFJ18" s="230"/>
      <c r="SFK18" s="231"/>
      <c r="SFL18" s="232"/>
      <c r="SFM18" s="233"/>
      <c r="SFN18" s="233"/>
      <c r="SFO18" s="233"/>
      <c r="SFP18" s="233"/>
      <c r="SFQ18" s="233"/>
      <c r="SFR18" s="233"/>
      <c r="SFS18" s="231"/>
      <c r="SFT18" s="231"/>
      <c r="SFU18" s="229"/>
      <c r="SFV18" s="230"/>
      <c r="SFW18" s="231"/>
      <c r="SFX18" s="232"/>
      <c r="SFY18" s="233"/>
      <c r="SFZ18" s="233"/>
      <c r="SGA18" s="233"/>
      <c r="SGB18" s="233"/>
      <c r="SGC18" s="233"/>
      <c r="SGD18" s="233"/>
      <c r="SGE18" s="231"/>
      <c r="SGF18" s="231"/>
      <c r="SGG18" s="229"/>
      <c r="SGH18" s="230"/>
      <c r="SGI18" s="231"/>
      <c r="SGJ18" s="232"/>
      <c r="SGK18" s="233"/>
      <c r="SGL18" s="233"/>
      <c r="SGM18" s="233"/>
      <c r="SGN18" s="233"/>
      <c r="SGO18" s="233"/>
      <c r="SGP18" s="233"/>
      <c r="SGQ18" s="231"/>
      <c r="SGR18" s="231"/>
      <c r="SGS18" s="229"/>
      <c r="SGT18" s="230"/>
      <c r="SGU18" s="231"/>
      <c r="SGV18" s="232"/>
      <c r="SGW18" s="233"/>
      <c r="SGX18" s="233"/>
      <c r="SGY18" s="233"/>
      <c r="SGZ18" s="233"/>
      <c r="SHA18" s="233"/>
      <c r="SHB18" s="233"/>
      <c r="SHC18" s="231"/>
      <c r="SHD18" s="231"/>
      <c r="SHE18" s="229"/>
      <c r="SHF18" s="230"/>
      <c r="SHG18" s="231"/>
      <c r="SHH18" s="232"/>
      <c r="SHI18" s="233"/>
      <c r="SHJ18" s="233"/>
      <c r="SHK18" s="233"/>
      <c r="SHL18" s="233"/>
      <c r="SHM18" s="233"/>
      <c r="SHN18" s="233"/>
      <c r="SHO18" s="231"/>
      <c r="SHP18" s="231"/>
      <c r="SHQ18" s="229"/>
      <c r="SHR18" s="230"/>
      <c r="SHS18" s="231"/>
      <c r="SHT18" s="232"/>
      <c r="SHU18" s="233"/>
      <c r="SHV18" s="233"/>
      <c r="SHW18" s="233"/>
      <c r="SHX18" s="233"/>
      <c r="SHY18" s="233"/>
      <c r="SHZ18" s="233"/>
      <c r="SIA18" s="231"/>
      <c r="SIB18" s="231"/>
      <c r="SIC18" s="229"/>
      <c r="SID18" s="230"/>
      <c r="SIE18" s="231"/>
      <c r="SIF18" s="232"/>
      <c r="SIG18" s="233"/>
      <c r="SIH18" s="233"/>
      <c r="SII18" s="233"/>
      <c r="SIJ18" s="233"/>
      <c r="SIK18" s="233"/>
      <c r="SIL18" s="233"/>
      <c r="SIM18" s="231"/>
      <c r="SIN18" s="231"/>
      <c r="SIO18" s="229"/>
      <c r="SIP18" s="230"/>
      <c r="SIQ18" s="231"/>
      <c r="SIR18" s="232"/>
      <c r="SIS18" s="233"/>
      <c r="SIT18" s="233"/>
      <c r="SIU18" s="233"/>
      <c r="SIV18" s="233"/>
      <c r="SIW18" s="233"/>
      <c r="SIX18" s="233"/>
      <c r="SIY18" s="231"/>
      <c r="SIZ18" s="231"/>
      <c r="SJA18" s="229"/>
      <c r="SJB18" s="230"/>
      <c r="SJC18" s="231"/>
      <c r="SJD18" s="232"/>
      <c r="SJE18" s="233"/>
      <c r="SJF18" s="233"/>
      <c r="SJG18" s="233"/>
      <c r="SJH18" s="233"/>
      <c r="SJI18" s="233"/>
      <c r="SJJ18" s="233"/>
      <c r="SJK18" s="231"/>
      <c r="SJL18" s="231"/>
      <c r="SJM18" s="229"/>
      <c r="SJN18" s="230"/>
      <c r="SJO18" s="231"/>
      <c r="SJP18" s="232"/>
      <c r="SJQ18" s="233"/>
      <c r="SJR18" s="233"/>
      <c r="SJS18" s="233"/>
      <c r="SJT18" s="233"/>
      <c r="SJU18" s="233"/>
      <c r="SJV18" s="233"/>
      <c r="SJW18" s="231"/>
      <c r="SJX18" s="231"/>
      <c r="SJY18" s="229"/>
      <c r="SJZ18" s="230"/>
      <c r="SKA18" s="231"/>
      <c r="SKB18" s="232"/>
      <c r="SKC18" s="233"/>
      <c r="SKD18" s="233"/>
      <c r="SKE18" s="233"/>
      <c r="SKF18" s="233"/>
      <c r="SKG18" s="233"/>
      <c r="SKH18" s="233"/>
      <c r="SKI18" s="231"/>
      <c r="SKJ18" s="231"/>
      <c r="SKK18" s="229"/>
      <c r="SKL18" s="230"/>
      <c r="SKM18" s="231"/>
      <c r="SKN18" s="232"/>
      <c r="SKO18" s="233"/>
      <c r="SKP18" s="233"/>
      <c r="SKQ18" s="233"/>
      <c r="SKR18" s="233"/>
      <c r="SKS18" s="233"/>
      <c r="SKT18" s="233"/>
      <c r="SKU18" s="231"/>
      <c r="SKV18" s="231"/>
      <c r="SKW18" s="229"/>
      <c r="SKX18" s="230"/>
      <c r="SKY18" s="231"/>
      <c r="SKZ18" s="232"/>
      <c r="SLA18" s="233"/>
      <c r="SLB18" s="233"/>
      <c r="SLC18" s="233"/>
      <c r="SLD18" s="233"/>
      <c r="SLE18" s="233"/>
      <c r="SLF18" s="233"/>
      <c r="SLG18" s="231"/>
      <c r="SLH18" s="231"/>
      <c r="SLI18" s="229"/>
      <c r="SLJ18" s="230"/>
      <c r="SLK18" s="231"/>
      <c r="SLL18" s="232"/>
      <c r="SLM18" s="233"/>
      <c r="SLN18" s="233"/>
      <c r="SLO18" s="233"/>
      <c r="SLP18" s="233"/>
      <c r="SLQ18" s="233"/>
      <c r="SLR18" s="233"/>
      <c r="SLS18" s="231"/>
      <c r="SLT18" s="231"/>
      <c r="SLU18" s="229"/>
      <c r="SLV18" s="230"/>
      <c r="SLW18" s="231"/>
      <c r="SLX18" s="232"/>
      <c r="SLY18" s="233"/>
      <c r="SLZ18" s="233"/>
      <c r="SMA18" s="233"/>
      <c r="SMB18" s="233"/>
      <c r="SMC18" s="233"/>
      <c r="SMD18" s="233"/>
      <c r="SME18" s="231"/>
      <c r="SMF18" s="231"/>
      <c r="SMG18" s="229"/>
      <c r="SMH18" s="230"/>
      <c r="SMI18" s="231"/>
      <c r="SMJ18" s="232"/>
      <c r="SMK18" s="233"/>
      <c r="SML18" s="233"/>
      <c r="SMM18" s="233"/>
      <c r="SMN18" s="233"/>
      <c r="SMO18" s="233"/>
      <c r="SMP18" s="233"/>
      <c r="SMQ18" s="231"/>
      <c r="SMR18" s="231"/>
      <c r="SMS18" s="229"/>
      <c r="SMT18" s="230"/>
      <c r="SMU18" s="231"/>
      <c r="SMV18" s="232"/>
      <c r="SMW18" s="233"/>
      <c r="SMX18" s="233"/>
      <c r="SMY18" s="233"/>
      <c r="SMZ18" s="233"/>
      <c r="SNA18" s="233"/>
      <c r="SNB18" s="233"/>
      <c r="SNC18" s="231"/>
      <c r="SND18" s="231"/>
      <c r="SNE18" s="229"/>
      <c r="SNF18" s="230"/>
      <c r="SNG18" s="231"/>
      <c r="SNH18" s="232"/>
      <c r="SNI18" s="233"/>
      <c r="SNJ18" s="233"/>
      <c r="SNK18" s="233"/>
      <c r="SNL18" s="233"/>
      <c r="SNM18" s="233"/>
      <c r="SNN18" s="233"/>
      <c r="SNO18" s="231"/>
      <c r="SNP18" s="231"/>
      <c r="SNQ18" s="229"/>
      <c r="SNR18" s="230"/>
      <c r="SNS18" s="231"/>
      <c r="SNT18" s="232"/>
      <c r="SNU18" s="233"/>
      <c r="SNV18" s="233"/>
      <c r="SNW18" s="233"/>
      <c r="SNX18" s="233"/>
      <c r="SNY18" s="233"/>
      <c r="SNZ18" s="233"/>
      <c r="SOA18" s="231"/>
      <c r="SOB18" s="231"/>
      <c r="SOC18" s="229"/>
      <c r="SOD18" s="230"/>
      <c r="SOE18" s="231"/>
      <c r="SOF18" s="232"/>
      <c r="SOG18" s="233"/>
      <c r="SOH18" s="233"/>
      <c r="SOI18" s="233"/>
      <c r="SOJ18" s="233"/>
      <c r="SOK18" s="233"/>
      <c r="SOL18" s="233"/>
      <c r="SOM18" s="231"/>
      <c r="SON18" s="231"/>
      <c r="SOO18" s="229"/>
      <c r="SOP18" s="230"/>
      <c r="SOQ18" s="231"/>
      <c r="SOR18" s="232"/>
      <c r="SOS18" s="233"/>
      <c r="SOT18" s="233"/>
      <c r="SOU18" s="233"/>
      <c r="SOV18" s="233"/>
      <c r="SOW18" s="233"/>
      <c r="SOX18" s="233"/>
      <c r="SOY18" s="231"/>
      <c r="SOZ18" s="231"/>
      <c r="SPA18" s="229"/>
      <c r="SPB18" s="230"/>
      <c r="SPC18" s="231"/>
      <c r="SPD18" s="232"/>
      <c r="SPE18" s="233"/>
      <c r="SPF18" s="233"/>
      <c r="SPG18" s="233"/>
      <c r="SPH18" s="233"/>
      <c r="SPI18" s="233"/>
      <c r="SPJ18" s="233"/>
      <c r="SPK18" s="231"/>
      <c r="SPL18" s="231"/>
      <c r="SPM18" s="229"/>
      <c r="SPN18" s="230"/>
      <c r="SPO18" s="231"/>
      <c r="SPP18" s="232"/>
      <c r="SPQ18" s="233"/>
      <c r="SPR18" s="233"/>
      <c r="SPS18" s="233"/>
      <c r="SPT18" s="233"/>
      <c r="SPU18" s="233"/>
      <c r="SPV18" s="233"/>
      <c r="SPW18" s="231"/>
      <c r="SPX18" s="231"/>
      <c r="SPY18" s="229"/>
      <c r="SPZ18" s="230"/>
      <c r="SQA18" s="231"/>
      <c r="SQB18" s="232"/>
      <c r="SQC18" s="233"/>
      <c r="SQD18" s="233"/>
      <c r="SQE18" s="233"/>
      <c r="SQF18" s="233"/>
      <c r="SQG18" s="233"/>
      <c r="SQH18" s="233"/>
      <c r="SQI18" s="231"/>
      <c r="SQJ18" s="231"/>
      <c r="SQK18" s="229"/>
      <c r="SQL18" s="230"/>
      <c r="SQM18" s="231"/>
      <c r="SQN18" s="232"/>
      <c r="SQO18" s="233"/>
      <c r="SQP18" s="233"/>
      <c r="SQQ18" s="233"/>
      <c r="SQR18" s="233"/>
      <c r="SQS18" s="233"/>
      <c r="SQT18" s="233"/>
      <c r="SQU18" s="231"/>
      <c r="SQV18" s="231"/>
      <c r="SQW18" s="229"/>
      <c r="SQX18" s="230"/>
      <c r="SQY18" s="231"/>
      <c r="SQZ18" s="232"/>
      <c r="SRA18" s="233"/>
      <c r="SRB18" s="233"/>
      <c r="SRC18" s="233"/>
      <c r="SRD18" s="233"/>
      <c r="SRE18" s="233"/>
      <c r="SRF18" s="233"/>
      <c r="SRG18" s="231"/>
      <c r="SRH18" s="231"/>
      <c r="SRI18" s="229"/>
      <c r="SRJ18" s="230"/>
      <c r="SRK18" s="231"/>
      <c r="SRL18" s="232"/>
      <c r="SRM18" s="233"/>
      <c r="SRN18" s="233"/>
      <c r="SRO18" s="233"/>
      <c r="SRP18" s="233"/>
      <c r="SRQ18" s="233"/>
      <c r="SRR18" s="233"/>
      <c r="SRS18" s="231"/>
      <c r="SRT18" s="231"/>
      <c r="SRU18" s="229"/>
      <c r="SRV18" s="230"/>
      <c r="SRW18" s="231"/>
      <c r="SRX18" s="232"/>
      <c r="SRY18" s="233"/>
      <c r="SRZ18" s="233"/>
      <c r="SSA18" s="233"/>
      <c r="SSB18" s="233"/>
      <c r="SSC18" s="233"/>
      <c r="SSD18" s="233"/>
      <c r="SSE18" s="231"/>
      <c r="SSF18" s="231"/>
      <c r="SSG18" s="229"/>
      <c r="SSH18" s="230"/>
      <c r="SSI18" s="231"/>
      <c r="SSJ18" s="232"/>
      <c r="SSK18" s="233"/>
      <c r="SSL18" s="233"/>
      <c r="SSM18" s="233"/>
      <c r="SSN18" s="233"/>
      <c r="SSO18" s="233"/>
      <c r="SSP18" s="233"/>
      <c r="SSQ18" s="231"/>
      <c r="SSR18" s="231"/>
      <c r="SSS18" s="229"/>
      <c r="SST18" s="230"/>
      <c r="SSU18" s="231"/>
      <c r="SSV18" s="232"/>
      <c r="SSW18" s="233"/>
      <c r="SSX18" s="233"/>
      <c r="SSY18" s="233"/>
      <c r="SSZ18" s="233"/>
      <c r="STA18" s="233"/>
      <c r="STB18" s="233"/>
      <c r="STC18" s="231"/>
      <c r="STD18" s="231"/>
      <c r="STE18" s="229"/>
      <c r="STF18" s="230"/>
      <c r="STG18" s="231"/>
      <c r="STH18" s="232"/>
      <c r="STI18" s="233"/>
      <c r="STJ18" s="233"/>
      <c r="STK18" s="233"/>
      <c r="STL18" s="233"/>
      <c r="STM18" s="233"/>
      <c r="STN18" s="233"/>
      <c r="STO18" s="231"/>
      <c r="STP18" s="231"/>
      <c r="STQ18" s="229"/>
      <c r="STR18" s="230"/>
      <c r="STS18" s="231"/>
      <c r="STT18" s="232"/>
      <c r="STU18" s="233"/>
      <c r="STV18" s="233"/>
      <c r="STW18" s="233"/>
      <c r="STX18" s="233"/>
      <c r="STY18" s="233"/>
      <c r="STZ18" s="233"/>
      <c r="SUA18" s="231"/>
      <c r="SUB18" s="231"/>
      <c r="SUC18" s="229"/>
      <c r="SUD18" s="230"/>
      <c r="SUE18" s="231"/>
      <c r="SUF18" s="232"/>
      <c r="SUG18" s="233"/>
      <c r="SUH18" s="233"/>
      <c r="SUI18" s="233"/>
      <c r="SUJ18" s="233"/>
      <c r="SUK18" s="233"/>
      <c r="SUL18" s="233"/>
      <c r="SUM18" s="231"/>
      <c r="SUN18" s="231"/>
      <c r="SUO18" s="229"/>
      <c r="SUP18" s="230"/>
      <c r="SUQ18" s="231"/>
      <c r="SUR18" s="232"/>
      <c r="SUS18" s="233"/>
      <c r="SUT18" s="233"/>
      <c r="SUU18" s="233"/>
      <c r="SUV18" s="233"/>
      <c r="SUW18" s="233"/>
      <c r="SUX18" s="233"/>
      <c r="SUY18" s="231"/>
      <c r="SUZ18" s="231"/>
      <c r="SVA18" s="229"/>
      <c r="SVB18" s="230"/>
      <c r="SVC18" s="231"/>
      <c r="SVD18" s="232"/>
      <c r="SVE18" s="233"/>
      <c r="SVF18" s="233"/>
      <c r="SVG18" s="233"/>
      <c r="SVH18" s="233"/>
      <c r="SVI18" s="233"/>
      <c r="SVJ18" s="233"/>
      <c r="SVK18" s="231"/>
      <c r="SVL18" s="231"/>
      <c r="SVM18" s="229"/>
      <c r="SVN18" s="230"/>
      <c r="SVO18" s="231"/>
      <c r="SVP18" s="232"/>
      <c r="SVQ18" s="233"/>
      <c r="SVR18" s="233"/>
      <c r="SVS18" s="233"/>
      <c r="SVT18" s="233"/>
      <c r="SVU18" s="233"/>
      <c r="SVV18" s="233"/>
      <c r="SVW18" s="231"/>
      <c r="SVX18" s="231"/>
      <c r="SVY18" s="229"/>
      <c r="SVZ18" s="230"/>
      <c r="SWA18" s="231"/>
      <c r="SWB18" s="232"/>
      <c r="SWC18" s="233"/>
      <c r="SWD18" s="233"/>
      <c r="SWE18" s="233"/>
      <c r="SWF18" s="233"/>
      <c r="SWG18" s="233"/>
      <c r="SWH18" s="233"/>
      <c r="SWI18" s="231"/>
      <c r="SWJ18" s="231"/>
      <c r="SWK18" s="229"/>
      <c r="SWL18" s="230"/>
      <c r="SWM18" s="231"/>
      <c r="SWN18" s="232"/>
      <c r="SWO18" s="233"/>
      <c r="SWP18" s="233"/>
      <c r="SWQ18" s="233"/>
      <c r="SWR18" s="233"/>
      <c r="SWS18" s="233"/>
      <c r="SWT18" s="233"/>
      <c r="SWU18" s="231"/>
      <c r="SWV18" s="231"/>
      <c r="SWW18" s="229"/>
      <c r="SWX18" s="230"/>
      <c r="SWY18" s="231"/>
      <c r="SWZ18" s="232"/>
      <c r="SXA18" s="233"/>
      <c r="SXB18" s="233"/>
      <c r="SXC18" s="233"/>
      <c r="SXD18" s="233"/>
      <c r="SXE18" s="233"/>
      <c r="SXF18" s="233"/>
      <c r="SXG18" s="231"/>
      <c r="SXH18" s="231"/>
      <c r="SXI18" s="229"/>
      <c r="SXJ18" s="230"/>
      <c r="SXK18" s="231"/>
      <c r="SXL18" s="232"/>
      <c r="SXM18" s="233"/>
      <c r="SXN18" s="233"/>
      <c r="SXO18" s="233"/>
      <c r="SXP18" s="233"/>
      <c r="SXQ18" s="233"/>
      <c r="SXR18" s="233"/>
      <c r="SXS18" s="231"/>
      <c r="SXT18" s="231"/>
      <c r="SXU18" s="229"/>
      <c r="SXV18" s="230"/>
      <c r="SXW18" s="231"/>
      <c r="SXX18" s="232"/>
      <c r="SXY18" s="233"/>
      <c r="SXZ18" s="233"/>
      <c r="SYA18" s="233"/>
      <c r="SYB18" s="233"/>
      <c r="SYC18" s="233"/>
      <c r="SYD18" s="233"/>
      <c r="SYE18" s="231"/>
      <c r="SYF18" s="231"/>
      <c r="SYG18" s="229"/>
      <c r="SYH18" s="230"/>
      <c r="SYI18" s="231"/>
      <c r="SYJ18" s="232"/>
      <c r="SYK18" s="233"/>
      <c r="SYL18" s="233"/>
      <c r="SYM18" s="233"/>
      <c r="SYN18" s="233"/>
      <c r="SYO18" s="233"/>
      <c r="SYP18" s="233"/>
      <c r="SYQ18" s="231"/>
      <c r="SYR18" s="231"/>
      <c r="SYS18" s="229"/>
      <c r="SYT18" s="230"/>
      <c r="SYU18" s="231"/>
      <c r="SYV18" s="232"/>
      <c r="SYW18" s="233"/>
      <c r="SYX18" s="233"/>
      <c r="SYY18" s="233"/>
      <c r="SYZ18" s="233"/>
      <c r="SZA18" s="233"/>
      <c r="SZB18" s="233"/>
      <c r="SZC18" s="231"/>
      <c r="SZD18" s="231"/>
      <c r="SZE18" s="229"/>
      <c r="SZF18" s="230"/>
      <c r="SZG18" s="231"/>
      <c r="SZH18" s="232"/>
      <c r="SZI18" s="233"/>
      <c r="SZJ18" s="233"/>
      <c r="SZK18" s="233"/>
      <c r="SZL18" s="233"/>
      <c r="SZM18" s="233"/>
      <c r="SZN18" s="233"/>
      <c r="SZO18" s="231"/>
      <c r="SZP18" s="231"/>
      <c r="SZQ18" s="229"/>
      <c r="SZR18" s="230"/>
      <c r="SZS18" s="231"/>
      <c r="SZT18" s="232"/>
      <c r="SZU18" s="233"/>
      <c r="SZV18" s="233"/>
      <c r="SZW18" s="233"/>
      <c r="SZX18" s="233"/>
      <c r="SZY18" s="233"/>
      <c r="SZZ18" s="233"/>
      <c r="TAA18" s="231"/>
      <c r="TAB18" s="231"/>
      <c r="TAC18" s="229"/>
      <c r="TAD18" s="230"/>
      <c r="TAE18" s="231"/>
      <c r="TAF18" s="232"/>
      <c r="TAG18" s="233"/>
      <c r="TAH18" s="233"/>
      <c r="TAI18" s="233"/>
      <c r="TAJ18" s="233"/>
      <c r="TAK18" s="233"/>
      <c r="TAL18" s="233"/>
      <c r="TAM18" s="231"/>
      <c r="TAN18" s="231"/>
      <c r="TAO18" s="229"/>
      <c r="TAP18" s="230"/>
      <c r="TAQ18" s="231"/>
      <c r="TAR18" s="232"/>
      <c r="TAS18" s="233"/>
      <c r="TAT18" s="233"/>
      <c r="TAU18" s="233"/>
      <c r="TAV18" s="233"/>
      <c r="TAW18" s="233"/>
      <c r="TAX18" s="233"/>
      <c r="TAY18" s="231"/>
      <c r="TAZ18" s="231"/>
      <c r="TBA18" s="229"/>
      <c r="TBB18" s="230"/>
      <c r="TBC18" s="231"/>
      <c r="TBD18" s="232"/>
      <c r="TBE18" s="233"/>
      <c r="TBF18" s="233"/>
      <c r="TBG18" s="233"/>
      <c r="TBH18" s="233"/>
      <c r="TBI18" s="233"/>
      <c r="TBJ18" s="233"/>
      <c r="TBK18" s="231"/>
      <c r="TBL18" s="231"/>
      <c r="TBM18" s="229"/>
      <c r="TBN18" s="230"/>
      <c r="TBO18" s="231"/>
      <c r="TBP18" s="232"/>
      <c r="TBQ18" s="233"/>
      <c r="TBR18" s="233"/>
      <c r="TBS18" s="233"/>
      <c r="TBT18" s="233"/>
      <c r="TBU18" s="233"/>
      <c r="TBV18" s="233"/>
      <c r="TBW18" s="231"/>
      <c r="TBX18" s="231"/>
      <c r="TBY18" s="229"/>
      <c r="TBZ18" s="230"/>
      <c r="TCA18" s="231"/>
      <c r="TCB18" s="232"/>
      <c r="TCC18" s="233"/>
      <c r="TCD18" s="233"/>
      <c r="TCE18" s="233"/>
      <c r="TCF18" s="233"/>
      <c r="TCG18" s="233"/>
      <c r="TCH18" s="233"/>
      <c r="TCI18" s="231"/>
      <c r="TCJ18" s="231"/>
      <c r="TCK18" s="229"/>
      <c r="TCL18" s="230"/>
      <c r="TCM18" s="231"/>
      <c r="TCN18" s="232"/>
      <c r="TCO18" s="233"/>
      <c r="TCP18" s="233"/>
      <c r="TCQ18" s="233"/>
      <c r="TCR18" s="233"/>
      <c r="TCS18" s="233"/>
      <c r="TCT18" s="233"/>
      <c r="TCU18" s="231"/>
      <c r="TCV18" s="231"/>
      <c r="TCW18" s="229"/>
      <c r="TCX18" s="230"/>
      <c r="TCY18" s="231"/>
      <c r="TCZ18" s="232"/>
      <c r="TDA18" s="233"/>
      <c r="TDB18" s="233"/>
      <c r="TDC18" s="233"/>
      <c r="TDD18" s="233"/>
      <c r="TDE18" s="233"/>
      <c r="TDF18" s="233"/>
      <c r="TDG18" s="231"/>
      <c r="TDH18" s="231"/>
      <c r="TDI18" s="229"/>
      <c r="TDJ18" s="230"/>
      <c r="TDK18" s="231"/>
      <c r="TDL18" s="232"/>
      <c r="TDM18" s="233"/>
      <c r="TDN18" s="233"/>
      <c r="TDO18" s="233"/>
      <c r="TDP18" s="233"/>
      <c r="TDQ18" s="233"/>
      <c r="TDR18" s="233"/>
      <c r="TDS18" s="231"/>
      <c r="TDT18" s="231"/>
      <c r="TDU18" s="229"/>
      <c r="TDV18" s="230"/>
      <c r="TDW18" s="231"/>
      <c r="TDX18" s="232"/>
      <c r="TDY18" s="233"/>
      <c r="TDZ18" s="233"/>
      <c r="TEA18" s="233"/>
      <c r="TEB18" s="233"/>
      <c r="TEC18" s="233"/>
      <c r="TED18" s="233"/>
      <c r="TEE18" s="231"/>
      <c r="TEF18" s="231"/>
      <c r="TEG18" s="229"/>
      <c r="TEH18" s="230"/>
      <c r="TEI18" s="231"/>
      <c r="TEJ18" s="232"/>
      <c r="TEK18" s="233"/>
      <c r="TEL18" s="233"/>
      <c r="TEM18" s="233"/>
      <c r="TEN18" s="233"/>
      <c r="TEO18" s="233"/>
      <c r="TEP18" s="233"/>
      <c r="TEQ18" s="231"/>
      <c r="TER18" s="231"/>
      <c r="TES18" s="229"/>
      <c r="TET18" s="230"/>
      <c r="TEU18" s="231"/>
      <c r="TEV18" s="232"/>
      <c r="TEW18" s="233"/>
      <c r="TEX18" s="233"/>
      <c r="TEY18" s="233"/>
      <c r="TEZ18" s="233"/>
      <c r="TFA18" s="233"/>
      <c r="TFB18" s="233"/>
      <c r="TFC18" s="231"/>
      <c r="TFD18" s="231"/>
      <c r="TFE18" s="229"/>
      <c r="TFF18" s="230"/>
      <c r="TFG18" s="231"/>
      <c r="TFH18" s="232"/>
      <c r="TFI18" s="233"/>
      <c r="TFJ18" s="233"/>
      <c r="TFK18" s="233"/>
      <c r="TFL18" s="233"/>
      <c r="TFM18" s="233"/>
      <c r="TFN18" s="233"/>
      <c r="TFO18" s="231"/>
      <c r="TFP18" s="231"/>
      <c r="TFQ18" s="229"/>
      <c r="TFR18" s="230"/>
      <c r="TFS18" s="231"/>
      <c r="TFT18" s="232"/>
      <c r="TFU18" s="233"/>
      <c r="TFV18" s="233"/>
      <c r="TFW18" s="233"/>
      <c r="TFX18" s="233"/>
      <c r="TFY18" s="233"/>
      <c r="TFZ18" s="233"/>
      <c r="TGA18" s="231"/>
      <c r="TGB18" s="231"/>
      <c r="TGC18" s="229"/>
      <c r="TGD18" s="230"/>
      <c r="TGE18" s="231"/>
      <c r="TGF18" s="232"/>
      <c r="TGG18" s="233"/>
      <c r="TGH18" s="233"/>
      <c r="TGI18" s="233"/>
      <c r="TGJ18" s="233"/>
      <c r="TGK18" s="233"/>
      <c r="TGL18" s="233"/>
      <c r="TGM18" s="231"/>
      <c r="TGN18" s="231"/>
      <c r="TGO18" s="229"/>
      <c r="TGP18" s="230"/>
      <c r="TGQ18" s="231"/>
      <c r="TGR18" s="232"/>
      <c r="TGS18" s="233"/>
      <c r="TGT18" s="233"/>
      <c r="TGU18" s="233"/>
      <c r="TGV18" s="233"/>
      <c r="TGW18" s="233"/>
      <c r="TGX18" s="233"/>
      <c r="TGY18" s="231"/>
      <c r="TGZ18" s="231"/>
      <c r="THA18" s="229"/>
      <c r="THB18" s="230"/>
      <c r="THC18" s="231"/>
      <c r="THD18" s="232"/>
      <c r="THE18" s="233"/>
      <c r="THF18" s="233"/>
      <c r="THG18" s="233"/>
      <c r="THH18" s="233"/>
      <c r="THI18" s="233"/>
      <c r="THJ18" s="233"/>
      <c r="THK18" s="231"/>
      <c r="THL18" s="231"/>
      <c r="THM18" s="229"/>
      <c r="THN18" s="230"/>
      <c r="THO18" s="231"/>
      <c r="THP18" s="232"/>
      <c r="THQ18" s="233"/>
      <c r="THR18" s="233"/>
      <c r="THS18" s="233"/>
      <c r="THT18" s="233"/>
      <c r="THU18" s="233"/>
      <c r="THV18" s="233"/>
      <c r="THW18" s="231"/>
      <c r="THX18" s="231"/>
      <c r="THY18" s="229"/>
      <c r="THZ18" s="230"/>
      <c r="TIA18" s="231"/>
      <c r="TIB18" s="232"/>
      <c r="TIC18" s="233"/>
      <c r="TID18" s="233"/>
      <c r="TIE18" s="233"/>
      <c r="TIF18" s="233"/>
      <c r="TIG18" s="233"/>
      <c r="TIH18" s="233"/>
      <c r="TII18" s="231"/>
      <c r="TIJ18" s="231"/>
      <c r="TIK18" s="229"/>
      <c r="TIL18" s="230"/>
      <c r="TIM18" s="231"/>
      <c r="TIN18" s="232"/>
      <c r="TIO18" s="233"/>
      <c r="TIP18" s="233"/>
      <c r="TIQ18" s="233"/>
      <c r="TIR18" s="233"/>
      <c r="TIS18" s="233"/>
      <c r="TIT18" s="233"/>
      <c r="TIU18" s="231"/>
      <c r="TIV18" s="231"/>
      <c r="TIW18" s="229"/>
      <c r="TIX18" s="230"/>
      <c r="TIY18" s="231"/>
      <c r="TIZ18" s="232"/>
      <c r="TJA18" s="233"/>
      <c r="TJB18" s="233"/>
      <c r="TJC18" s="233"/>
      <c r="TJD18" s="233"/>
      <c r="TJE18" s="233"/>
      <c r="TJF18" s="233"/>
      <c r="TJG18" s="231"/>
      <c r="TJH18" s="231"/>
      <c r="TJI18" s="229"/>
      <c r="TJJ18" s="230"/>
      <c r="TJK18" s="231"/>
      <c r="TJL18" s="232"/>
      <c r="TJM18" s="233"/>
      <c r="TJN18" s="233"/>
      <c r="TJO18" s="233"/>
      <c r="TJP18" s="233"/>
      <c r="TJQ18" s="233"/>
      <c r="TJR18" s="233"/>
      <c r="TJS18" s="231"/>
      <c r="TJT18" s="231"/>
      <c r="TJU18" s="229"/>
      <c r="TJV18" s="230"/>
      <c r="TJW18" s="231"/>
      <c r="TJX18" s="232"/>
      <c r="TJY18" s="233"/>
      <c r="TJZ18" s="233"/>
      <c r="TKA18" s="233"/>
      <c r="TKB18" s="233"/>
      <c r="TKC18" s="233"/>
      <c r="TKD18" s="233"/>
      <c r="TKE18" s="231"/>
      <c r="TKF18" s="231"/>
      <c r="TKG18" s="229"/>
      <c r="TKH18" s="230"/>
      <c r="TKI18" s="231"/>
      <c r="TKJ18" s="232"/>
      <c r="TKK18" s="233"/>
      <c r="TKL18" s="233"/>
      <c r="TKM18" s="233"/>
      <c r="TKN18" s="233"/>
      <c r="TKO18" s="233"/>
      <c r="TKP18" s="233"/>
      <c r="TKQ18" s="231"/>
      <c r="TKR18" s="231"/>
      <c r="TKS18" s="229"/>
      <c r="TKT18" s="230"/>
      <c r="TKU18" s="231"/>
      <c r="TKV18" s="232"/>
      <c r="TKW18" s="233"/>
      <c r="TKX18" s="233"/>
      <c r="TKY18" s="233"/>
      <c r="TKZ18" s="233"/>
      <c r="TLA18" s="233"/>
      <c r="TLB18" s="233"/>
      <c r="TLC18" s="231"/>
      <c r="TLD18" s="231"/>
      <c r="TLE18" s="229"/>
      <c r="TLF18" s="230"/>
      <c r="TLG18" s="231"/>
      <c r="TLH18" s="232"/>
      <c r="TLI18" s="233"/>
      <c r="TLJ18" s="233"/>
      <c r="TLK18" s="233"/>
      <c r="TLL18" s="233"/>
      <c r="TLM18" s="233"/>
      <c r="TLN18" s="233"/>
      <c r="TLO18" s="231"/>
      <c r="TLP18" s="231"/>
      <c r="TLQ18" s="229"/>
      <c r="TLR18" s="230"/>
      <c r="TLS18" s="231"/>
      <c r="TLT18" s="232"/>
      <c r="TLU18" s="233"/>
      <c r="TLV18" s="233"/>
      <c r="TLW18" s="233"/>
      <c r="TLX18" s="233"/>
      <c r="TLY18" s="233"/>
      <c r="TLZ18" s="233"/>
      <c r="TMA18" s="231"/>
      <c r="TMB18" s="231"/>
      <c r="TMC18" s="229"/>
      <c r="TMD18" s="230"/>
      <c r="TME18" s="231"/>
      <c r="TMF18" s="232"/>
      <c r="TMG18" s="233"/>
      <c r="TMH18" s="233"/>
      <c r="TMI18" s="233"/>
      <c r="TMJ18" s="233"/>
      <c r="TMK18" s="233"/>
      <c r="TML18" s="233"/>
      <c r="TMM18" s="231"/>
      <c r="TMN18" s="231"/>
      <c r="TMO18" s="229"/>
      <c r="TMP18" s="230"/>
      <c r="TMQ18" s="231"/>
      <c r="TMR18" s="232"/>
      <c r="TMS18" s="233"/>
      <c r="TMT18" s="233"/>
      <c r="TMU18" s="233"/>
      <c r="TMV18" s="233"/>
      <c r="TMW18" s="233"/>
      <c r="TMX18" s="233"/>
      <c r="TMY18" s="231"/>
      <c r="TMZ18" s="231"/>
      <c r="TNA18" s="229"/>
      <c r="TNB18" s="230"/>
      <c r="TNC18" s="231"/>
      <c r="TND18" s="232"/>
      <c r="TNE18" s="233"/>
      <c r="TNF18" s="233"/>
      <c r="TNG18" s="233"/>
      <c r="TNH18" s="233"/>
      <c r="TNI18" s="233"/>
      <c r="TNJ18" s="233"/>
      <c r="TNK18" s="231"/>
      <c r="TNL18" s="231"/>
      <c r="TNM18" s="229"/>
      <c r="TNN18" s="230"/>
      <c r="TNO18" s="231"/>
      <c r="TNP18" s="232"/>
      <c r="TNQ18" s="233"/>
      <c r="TNR18" s="233"/>
      <c r="TNS18" s="233"/>
      <c r="TNT18" s="233"/>
      <c r="TNU18" s="233"/>
      <c r="TNV18" s="233"/>
      <c r="TNW18" s="231"/>
      <c r="TNX18" s="231"/>
      <c r="TNY18" s="229"/>
      <c r="TNZ18" s="230"/>
      <c r="TOA18" s="231"/>
      <c r="TOB18" s="232"/>
      <c r="TOC18" s="233"/>
      <c r="TOD18" s="233"/>
      <c r="TOE18" s="233"/>
      <c r="TOF18" s="233"/>
      <c r="TOG18" s="233"/>
      <c r="TOH18" s="233"/>
      <c r="TOI18" s="231"/>
      <c r="TOJ18" s="231"/>
      <c r="TOK18" s="229"/>
      <c r="TOL18" s="230"/>
      <c r="TOM18" s="231"/>
      <c r="TON18" s="232"/>
      <c r="TOO18" s="233"/>
      <c r="TOP18" s="233"/>
      <c r="TOQ18" s="233"/>
      <c r="TOR18" s="233"/>
      <c r="TOS18" s="233"/>
      <c r="TOT18" s="233"/>
      <c r="TOU18" s="231"/>
      <c r="TOV18" s="231"/>
      <c r="TOW18" s="229"/>
      <c r="TOX18" s="230"/>
      <c r="TOY18" s="231"/>
      <c r="TOZ18" s="232"/>
      <c r="TPA18" s="233"/>
      <c r="TPB18" s="233"/>
      <c r="TPC18" s="233"/>
      <c r="TPD18" s="233"/>
      <c r="TPE18" s="233"/>
      <c r="TPF18" s="233"/>
      <c r="TPG18" s="231"/>
      <c r="TPH18" s="231"/>
      <c r="TPI18" s="229"/>
      <c r="TPJ18" s="230"/>
      <c r="TPK18" s="231"/>
      <c r="TPL18" s="232"/>
      <c r="TPM18" s="233"/>
      <c r="TPN18" s="233"/>
      <c r="TPO18" s="233"/>
      <c r="TPP18" s="233"/>
      <c r="TPQ18" s="233"/>
      <c r="TPR18" s="233"/>
      <c r="TPS18" s="231"/>
      <c r="TPT18" s="231"/>
      <c r="TPU18" s="229"/>
      <c r="TPV18" s="230"/>
      <c r="TPW18" s="231"/>
      <c r="TPX18" s="232"/>
      <c r="TPY18" s="233"/>
      <c r="TPZ18" s="233"/>
      <c r="TQA18" s="233"/>
      <c r="TQB18" s="233"/>
      <c r="TQC18" s="233"/>
      <c r="TQD18" s="233"/>
      <c r="TQE18" s="231"/>
      <c r="TQF18" s="231"/>
      <c r="TQG18" s="229"/>
      <c r="TQH18" s="230"/>
      <c r="TQI18" s="231"/>
      <c r="TQJ18" s="232"/>
      <c r="TQK18" s="233"/>
      <c r="TQL18" s="233"/>
      <c r="TQM18" s="233"/>
      <c r="TQN18" s="233"/>
      <c r="TQO18" s="233"/>
      <c r="TQP18" s="233"/>
      <c r="TQQ18" s="231"/>
      <c r="TQR18" s="231"/>
      <c r="TQS18" s="229"/>
      <c r="TQT18" s="230"/>
      <c r="TQU18" s="231"/>
      <c r="TQV18" s="232"/>
      <c r="TQW18" s="233"/>
      <c r="TQX18" s="233"/>
      <c r="TQY18" s="233"/>
      <c r="TQZ18" s="233"/>
      <c r="TRA18" s="233"/>
      <c r="TRB18" s="233"/>
      <c r="TRC18" s="231"/>
      <c r="TRD18" s="231"/>
      <c r="TRE18" s="229"/>
      <c r="TRF18" s="230"/>
      <c r="TRG18" s="231"/>
      <c r="TRH18" s="232"/>
      <c r="TRI18" s="233"/>
      <c r="TRJ18" s="233"/>
      <c r="TRK18" s="233"/>
      <c r="TRL18" s="233"/>
      <c r="TRM18" s="233"/>
      <c r="TRN18" s="233"/>
      <c r="TRO18" s="231"/>
      <c r="TRP18" s="231"/>
      <c r="TRQ18" s="229"/>
      <c r="TRR18" s="230"/>
      <c r="TRS18" s="231"/>
      <c r="TRT18" s="232"/>
      <c r="TRU18" s="233"/>
      <c r="TRV18" s="233"/>
      <c r="TRW18" s="233"/>
      <c r="TRX18" s="233"/>
      <c r="TRY18" s="233"/>
      <c r="TRZ18" s="233"/>
      <c r="TSA18" s="231"/>
      <c r="TSB18" s="231"/>
      <c r="TSC18" s="229"/>
      <c r="TSD18" s="230"/>
      <c r="TSE18" s="231"/>
      <c r="TSF18" s="232"/>
      <c r="TSG18" s="233"/>
      <c r="TSH18" s="233"/>
      <c r="TSI18" s="233"/>
      <c r="TSJ18" s="233"/>
      <c r="TSK18" s="233"/>
      <c r="TSL18" s="233"/>
      <c r="TSM18" s="231"/>
      <c r="TSN18" s="231"/>
      <c r="TSO18" s="229"/>
      <c r="TSP18" s="230"/>
      <c r="TSQ18" s="231"/>
      <c r="TSR18" s="232"/>
      <c r="TSS18" s="233"/>
      <c r="TST18" s="233"/>
      <c r="TSU18" s="233"/>
      <c r="TSV18" s="233"/>
      <c r="TSW18" s="233"/>
      <c r="TSX18" s="233"/>
      <c r="TSY18" s="231"/>
      <c r="TSZ18" s="231"/>
      <c r="TTA18" s="229"/>
      <c r="TTB18" s="230"/>
      <c r="TTC18" s="231"/>
      <c r="TTD18" s="232"/>
      <c r="TTE18" s="233"/>
      <c r="TTF18" s="233"/>
      <c r="TTG18" s="233"/>
      <c r="TTH18" s="233"/>
      <c r="TTI18" s="233"/>
      <c r="TTJ18" s="233"/>
      <c r="TTK18" s="231"/>
      <c r="TTL18" s="231"/>
      <c r="TTM18" s="229"/>
      <c r="TTN18" s="230"/>
      <c r="TTO18" s="231"/>
      <c r="TTP18" s="232"/>
      <c r="TTQ18" s="233"/>
      <c r="TTR18" s="233"/>
      <c r="TTS18" s="233"/>
      <c r="TTT18" s="233"/>
      <c r="TTU18" s="233"/>
      <c r="TTV18" s="233"/>
      <c r="TTW18" s="231"/>
      <c r="TTX18" s="231"/>
      <c r="TTY18" s="229"/>
      <c r="TTZ18" s="230"/>
      <c r="TUA18" s="231"/>
      <c r="TUB18" s="232"/>
      <c r="TUC18" s="233"/>
      <c r="TUD18" s="233"/>
      <c r="TUE18" s="233"/>
      <c r="TUF18" s="233"/>
      <c r="TUG18" s="233"/>
      <c r="TUH18" s="233"/>
      <c r="TUI18" s="231"/>
      <c r="TUJ18" s="231"/>
      <c r="TUK18" s="229"/>
      <c r="TUL18" s="230"/>
      <c r="TUM18" s="231"/>
      <c r="TUN18" s="232"/>
      <c r="TUO18" s="233"/>
      <c r="TUP18" s="233"/>
      <c r="TUQ18" s="233"/>
      <c r="TUR18" s="233"/>
      <c r="TUS18" s="233"/>
      <c r="TUT18" s="233"/>
      <c r="TUU18" s="231"/>
      <c r="TUV18" s="231"/>
      <c r="TUW18" s="229"/>
      <c r="TUX18" s="230"/>
      <c r="TUY18" s="231"/>
      <c r="TUZ18" s="232"/>
      <c r="TVA18" s="233"/>
      <c r="TVB18" s="233"/>
      <c r="TVC18" s="233"/>
      <c r="TVD18" s="233"/>
      <c r="TVE18" s="233"/>
      <c r="TVF18" s="233"/>
      <c r="TVG18" s="231"/>
      <c r="TVH18" s="231"/>
      <c r="TVI18" s="229"/>
      <c r="TVJ18" s="230"/>
      <c r="TVK18" s="231"/>
      <c r="TVL18" s="232"/>
      <c r="TVM18" s="233"/>
      <c r="TVN18" s="233"/>
      <c r="TVO18" s="233"/>
      <c r="TVP18" s="233"/>
      <c r="TVQ18" s="233"/>
      <c r="TVR18" s="233"/>
      <c r="TVS18" s="231"/>
      <c r="TVT18" s="231"/>
      <c r="TVU18" s="229"/>
      <c r="TVV18" s="230"/>
      <c r="TVW18" s="231"/>
      <c r="TVX18" s="232"/>
      <c r="TVY18" s="233"/>
      <c r="TVZ18" s="233"/>
      <c r="TWA18" s="233"/>
      <c r="TWB18" s="233"/>
      <c r="TWC18" s="233"/>
      <c r="TWD18" s="233"/>
      <c r="TWE18" s="231"/>
      <c r="TWF18" s="231"/>
      <c r="TWG18" s="229"/>
      <c r="TWH18" s="230"/>
      <c r="TWI18" s="231"/>
      <c r="TWJ18" s="232"/>
      <c r="TWK18" s="233"/>
      <c r="TWL18" s="233"/>
      <c r="TWM18" s="233"/>
      <c r="TWN18" s="233"/>
      <c r="TWO18" s="233"/>
      <c r="TWP18" s="233"/>
      <c r="TWQ18" s="231"/>
      <c r="TWR18" s="231"/>
      <c r="TWS18" s="229"/>
      <c r="TWT18" s="230"/>
      <c r="TWU18" s="231"/>
      <c r="TWV18" s="232"/>
      <c r="TWW18" s="233"/>
      <c r="TWX18" s="233"/>
      <c r="TWY18" s="233"/>
      <c r="TWZ18" s="233"/>
      <c r="TXA18" s="233"/>
      <c r="TXB18" s="233"/>
      <c r="TXC18" s="231"/>
      <c r="TXD18" s="231"/>
      <c r="TXE18" s="229"/>
      <c r="TXF18" s="230"/>
      <c r="TXG18" s="231"/>
      <c r="TXH18" s="232"/>
      <c r="TXI18" s="233"/>
      <c r="TXJ18" s="233"/>
      <c r="TXK18" s="233"/>
      <c r="TXL18" s="233"/>
      <c r="TXM18" s="233"/>
      <c r="TXN18" s="233"/>
      <c r="TXO18" s="231"/>
      <c r="TXP18" s="231"/>
      <c r="TXQ18" s="229"/>
      <c r="TXR18" s="230"/>
      <c r="TXS18" s="231"/>
      <c r="TXT18" s="232"/>
      <c r="TXU18" s="233"/>
      <c r="TXV18" s="233"/>
      <c r="TXW18" s="233"/>
      <c r="TXX18" s="233"/>
      <c r="TXY18" s="233"/>
      <c r="TXZ18" s="233"/>
      <c r="TYA18" s="231"/>
      <c r="TYB18" s="231"/>
      <c r="TYC18" s="229"/>
      <c r="TYD18" s="230"/>
      <c r="TYE18" s="231"/>
      <c r="TYF18" s="232"/>
      <c r="TYG18" s="233"/>
      <c r="TYH18" s="233"/>
      <c r="TYI18" s="233"/>
      <c r="TYJ18" s="233"/>
      <c r="TYK18" s="233"/>
      <c r="TYL18" s="233"/>
      <c r="TYM18" s="231"/>
      <c r="TYN18" s="231"/>
      <c r="TYO18" s="229"/>
      <c r="TYP18" s="230"/>
      <c r="TYQ18" s="231"/>
      <c r="TYR18" s="232"/>
      <c r="TYS18" s="233"/>
      <c r="TYT18" s="233"/>
      <c r="TYU18" s="233"/>
      <c r="TYV18" s="233"/>
      <c r="TYW18" s="233"/>
      <c r="TYX18" s="233"/>
      <c r="TYY18" s="231"/>
      <c r="TYZ18" s="231"/>
      <c r="TZA18" s="229"/>
      <c r="TZB18" s="230"/>
      <c r="TZC18" s="231"/>
      <c r="TZD18" s="232"/>
      <c r="TZE18" s="233"/>
      <c r="TZF18" s="233"/>
      <c r="TZG18" s="233"/>
      <c r="TZH18" s="233"/>
      <c r="TZI18" s="233"/>
      <c r="TZJ18" s="233"/>
      <c r="TZK18" s="231"/>
      <c r="TZL18" s="231"/>
      <c r="TZM18" s="229"/>
      <c r="TZN18" s="230"/>
      <c r="TZO18" s="231"/>
      <c r="TZP18" s="232"/>
      <c r="TZQ18" s="233"/>
      <c r="TZR18" s="233"/>
      <c r="TZS18" s="233"/>
      <c r="TZT18" s="233"/>
      <c r="TZU18" s="233"/>
      <c r="TZV18" s="233"/>
      <c r="TZW18" s="231"/>
      <c r="TZX18" s="231"/>
      <c r="TZY18" s="229"/>
      <c r="TZZ18" s="230"/>
      <c r="UAA18" s="231"/>
      <c r="UAB18" s="232"/>
      <c r="UAC18" s="233"/>
      <c r="UAD18" s="233"/>
      <c r="UAE18" s="233"/>
      <c r="UAF18" s="233"/>
      <c r="UAG18" s="233"/>
      <c r="UAH18" s="233"/>
      <c r="UAI18" s="231"/>
      <c r="UAJ18" s="231"/>
      <c r="UAK18" s="229"/>
      <c r="UAL18" s="230"/>
      <c r="UAM18" s="231"/>
      <c r="UAN18" s="232"/>
      <c r="UAO18" s="233"/>
      <c r="UAP18" s="233"/>
      <c r="UAQ18" s="233"/>
      <c r="UAR18" s="233"/>
      <c r="UAS18" s="233"/>
      <c r="UAT18" s="233"/>
      <c r="UAU18" s="231"/>
      <c r="UAV18" s="231"/>
      <c r="UAW18" s="229"/>
      <c r="UAX18" s="230"/>
      <c r="UAY18" s="231"/>
      <c r="UAZ18" s="232"/>
      <c r="UBA18" s="233"/>
      <c r="UBB18" s="233"/>
      <c r="UBC18" s="233"/>
      <c r="UBD18" s="233"/>
      <c r="UBE18" s="233"/>
      <c r="UBF18" s="233"/>
      <c r="UBG18" s="231"/>
      <c r="UBH18" s="231"/>
      <c r="UBI18" s="229"/>
      <c r="UBJ18" s="230"/>
      <c r="UBK18" s="231"/>
      <c r="UBL18" s="232"/>
      <c r="UBM18" s="233"/>
      <c r="UBN18" s="233"/>
      <c r="UBO18" s="233"/>
      <c r="UBP18" s="233"/>
      <c r="UBQ18" s="233"/>
      <c r="UBR18" s="233"/>
      <c r="UBS18" s="231"/>
      <c r="UBT18" s="231"/>
      <c r="UBU18" s="229"/>
      <c r="UBV18" s="230"/>
      <c r="UBW18" s="231"/>
      <c r="UBX18" s="232"/>
      <c r="UBY18" s="233"/>
      <c r="UBZ18" s="233"/>
      <c r="UCA18" s="233"/>
      <c r="UCB18" s="233"/>
      <c r="UCC18" s="233"/>
      <c r="UCD18" s="233"/>
      <c r="UCE18" s="231"/>
      <c r="UCF18" s="231"/>
      <c r="UCG18" s="229"/>
      <c r="UCH18" s="230"/>
      <c r="UCI18" s="231"/>
      <c r="UCJ18" s="232"/>
      <c r="UCK18" s="233"/>
      <c r="UCL18" s="233"/>
      <c r="UCM18" s="233"/>
      <c r="UCN18" s="233"/>
      <c r="UCO18" s="233"/>
      <c r="UCP18" s="233"/>
      <c r="UCQ18" s="231"/>
      <c r="UCR18" s="231"/>
      <c r="UCS18" s="229"/>
      <c r="UCT18" s="230"/>
      <c r="UCU18" s="231"/>
      <c r="UCV18" s="232"/>
      <c r="UCW18" s="233"/>
      <c r="UCX18" s="233"/>
      <c r="UCY18" s="233"/>
      <c r="UCZ18" s="233"/>
      <c r="UDA18" s="233"/>
      <c r="UDB18" s="233"/>
      <c r="UDC18" s="231"/>
      <c r="UDD18" s="231"/>
      <c r="UDE18" s="229"/>
      <c r="UDF18" s="230"/>
      <c r="UDG18" s="231"/>
      <c r="UDH18" s="232"/>
      <c r="UDI18" s="233"/>
      <c r="UDJ18" s="233"/>
      <c r="UDK18" s="233"/>
      <c r="UDL18" s="233"/>
      <c r="UDM18" s="233"/>
      <c r="UDN18" s="233"/>
      <c r="UDO18" s="231"/>
      <c r="UDP18" s="231"/>
      <c r="UDQ18" s="229"/>
      <c r="UDR18" s="230"/>
      <c r="UDS18" s="231"/>
      <c r="UDT18" s="232"/>
      <c r="UDU18" s="233"/>
      <c r="UDV18" s="233"/>
      <c r="UDW18" s="233"/>
      <c r="UDX18" s="233"/>
      <c r="UDY18" s="233"/>
      <c r="UDZ18" s="233"/>
      <c r="UEA18" s="231"/>
      <c r="UEB18" s="231"/>
      <c r="UEC18" s="229"/>
      <c r="UED18" s="230"/>
      <c r="UEE18" s="231"/>
      <c r="UEF18" s="232"/>
      <c r="UEG18" s="233"/>
      <c r="UEH18" s="233"/>
      <c r="UEI18" s="233"/>
      <c r="UEJ18" s="233"/>
      <c r="UEK18" s="233"/>
      <c r="UEL18" s="233"/>
      <c r="UEM18" s="231"/>
      <c r="UEN18" s="231"/>
      <c r="UEO18" s="229"/>
      <c r="UEP18" s="230"/>
      <c r="UEQ18" s="231"/>
      <c r="UER18" s="232"/>
      <c r="UES18" s="233"/>
      <c r="UET18" s="233"/>
      <c r="UEU18" s="233"/>
      <c r="UEV18" s="233"/>
      <c r="UEW18" s="233"/>
      <c r="UEX18" s="233"/>
      <c r="UEY18" s="231"/>
      <c r="UEZ18" s="231"/>
      <c r="UFA18" s="229"/>
      <c r="UFB18" s="230"/>
      <c r="UFC18" s="231"/>
      <c r="UFD18" s="232"/>
      <c r="UFE18" s="233"/>
      <c r="UFF18" s="233"/>
      <c r="UFG18" s="233"/>
      <c r="UFH18" s="233"/>
      <c r="UFI18" s="233"/>
      <c r="UFJ18" s="233"/>
      <c r="UFK18" s="231"/>
      <c r="UFL18" s="231"/>
      <c r="UFM18" s="229"/>
      <c r="UFN18" s="230"/>
      <c r="UFO18" s="231"/>
      <c r="UFP18" s="232"/>
      <c r="UFQ18" s="233"/>
      <c r="UFR18" s="233"/>
      <c r="UFS18" s="233"/>
      <c r="UFT18" s="233"/>
      <c r="UFU18" s="233"/>
      <c r="UFV18" s="233"/>
      <c r="UFW18" s="231"/>
      <c r="UFX18" s="231"/>
      <c r="UFY18" s="229"/>
      <c r="UFZ18" s="230"/>
      <c r="UGA18" s="231"/>
      <c r="UGB18" s="232"/>
      <c r="UGC18" s="233"/>
      <c r="UGD18" s="233"/>
      <c r="UGE18" s="233"/>
      <c r="UGF18" s="233"/>
      <c r="UGG18" s="233"/>
      <c r="UGH18" s="233"/>
      <c r="UGI18" s="231"/>
      <c r="UGJ18" s="231"/>
      <c r="UGK18" s="229"/>
      <c r="UGL18" s="230"/>
      <c r="UGM18" s="231"/>
      <c r="UGN18" s="232"/>
      <c r="UGO18" s="233"/>
      <c r="UGP18" s="233"/>
      <c r="UGQ18" s="233"/>
      <c r="UGR18" s="233"/>
      <c r="UGS18" s="233"/>
      <c r="UGT18" s="233"/>
      <c r="UGU18" s="231"/>
      <c r="UGV18" s="231"/>
      <c r="UGW18" s="229"/>
      <c r="UGX18" s="230"/>
      <c r="UGY18" s="231"/>
      <c r="UGZ18" s="232"/>
      <c r="UHA18" s="233"/>
      <c r="UHB18" s="233"/>
      <c r="UHC18" s="233"/>
      <c r="UHD18" s="233"/>
      <c r="UHE18" s="233"/>
      <c r="UHF18" s="233"/>
      <c r="UHG18" s="231"/>
      <c r="UHH18" s="231"/>
      <c r="UHI18" s="229"/>
      <c r="UHJ18" s="230"/>
      <c r="UHK18" s="231"/>
      <c r="UHL18" s="232"/>
      <c r="UHM18" s="233"/>
      <c r="UHN18" s="233"/>
      <c r="UHO18" s="233"/>
      <c r="UHP18" s="233"/>
      <c r="UHQ18" s="233"/>
      <c r="UHR18" s="233"/>
      <c r="UHS18" s="231"/>
      <c r="UHT18" s="231"/>
      <c r="UHU18" s="229"/>
      <c r="UHV18" s="230"/>
      <c r="UHW18" s="231"/>
      <c r="UHX18" s="232"/>
      <c r="UHY18" s="233"/>
      <c r="UHZ18" s="233"/>
      <c r="UIA18" s="233"/>
      <c r="UIB18" s="233"/>
      <c r="UIC18" s="233"/>
      <c r="UID18" s="233"/>
      <c r="UIE18" s="231"/>
      <c r="UIF18" s="231"/>
      <c r="UIG18" s="229"/>
      <c r="UIH18" s="230"/>
      <c r="UII18" s="231"/>
      <c r="UIJ18" s="232"/>
      <c r="UIK18" s="233"/>
      <c r="UIL18" s="233"/>
      <c r="UIM18" s="233"/>
      <c r="UIN18" s="233"/>
      <c r="UIO18" s="233"/>
      <c r="UIP18" s="233"/>
      <c r="UIQ18" s="231"/>
      <c r="UIR18" s="231"/>
      <c r="UIS18" s="229"/>
      <c r="UIT18" s="230"/>
      <c r="UIU18" s="231"/>
      <c r="UIV18" s="232"/>
      <c r="UIW18" s="233"/>
      <c r="UIX18" s="233"/>
      <c r="UIY18" s="233"/>
      <c r="UIZ18" s="233"/>
      <c r="UJA18" s="233"/>
      <c r="UJB18" s="233"/>
      <c r="UJC18" s="231"/>
      <c r="UJD18" s="231"/>
      <c r="UJE18" s="229"/>
      <c r="UJF18" s="230"/>
      <c r="UJG18" s="231"/>
      <c r="UJH18" s="232"/>
      <c r="UJI18" s="233"/>
      <c r="UJJ18" s="233"/>
      <c r="UJK18" s="233"/>
      <c r="UJL18" s="233"/>
      <c r="UJM18" s="233"/>
      <c r="UJN18" s="233"/>
      <c r="UJO18" s="231"/>
      <c r="UJP18" s="231"/>
      <c r="UJQ18" s="229"/>
      <c r="UJR18" s="230"/>
      <c r="UJS18" s="231"/>
      <c r="UJT18" s="232"/>
      <c r="UJU18" s="233"/>
      <c r="UJV18" s="233"/>
      <c r="UJW18" s="233"/>
      <c r="UJX18" s="233"/>
      <c r="UJY18" s="233"/>
      <c r="UJZ18" s="233"/>
      <c r="UKA18" s="231"/>
      <c r="UKB18" s="231"/>
      <c r="UKC18" s="229"/>
      <c r="UKD18" s="230"/>
      <c r="UKE18" s="231"/>
      <c r="UKF18" s="232"/>
      <c r="UKG18" s="233"/>
      <c r="UKH18" s="233"/>
      <c r="UKI18" s="233"/>
      <c r="UKJ18" s="233"/>
      <c r="UKK18" s="233"/>
      <c r="UKL18" s="233"/>
      <c r="UKM18" s="231"/>
      <c r="UKN18" s="231"/>
      <c r="UKO18" s="229"/>
      <c r="UKP18" s="230"/>
      <c r="UKQ18" s="231"/>
      <c r="UKR18" s="232"/>
      <c r="UKS18" s="233"/>
      <c r="UKT18" s="233"/>
      <c r="UKU18" s="233"/>
      <c r="UKV18" s="233"/>
      <c r="UKW18" s="233"/>
      <c r="UKX18" s="233"/>
      <c r="UKY18" s="231"/>
      <c r="UKZ18" s="231"/>
      <c r="ULA18" s="229"/>
      <c r="ULB18" s="230"/>
      <c r="ULC18" s="231"/>
      <c r="ULD18" s="232"/>
      <c r="ULE18" s="233"/>
      <c r="ULF18" s="233"/>
      <c r="ULG18" s="233"/>
      <c r="ULH18" s="233"/>
      <c r="ULI18" s="233"/>
      <c r="ULJ18" s="233"/>
      <c r="ULK18" s="231"/>
      <c r="ULL18" s="231"/>
      <c r="ULM18" s="229"/>
      <c r="ULN18" s="230"/>
      <c r="ULO18" s="231"/>
      <c r="ULP18" s="232"/>
      <c r="ULQ18" s="233"/>
      <c r="ULR18" s="233"/>
      <c r="ULS18" s="233"/>
      <c r="ULT18" s="233"/>
      <c r="ULU18" s="233"/>
      <c r="ULV18" s="233"/>
      <c r="ULW18" s="231"/>
      <c r="ULX18" s="231"/>
      <c r="ULY18" s="229"/>
      <c r="ULZ18" s="230"/>
      <c r="UMA18" s="231"/>
      <c r="UMB18" s="232"/>
      <c r="UMC18" s="233"/>
      <c r="UMD18" s="233"/>
      <c r="UME18" s="233"/>
      <c r="UMF18" s="233"/>
      <c r="UMG18" s="233"/>
      <c r="UMH18" s="233"/>
      <c r="UMI18" s="231"/>
      <c r="UMJ18" s="231"/>
      <c r="UMK18" s="229"/>
      <c r="UML18" s="230"/>
      <c r="UMM18" s="231"/>
      <c r="UMN18" s="232"/>
      <c r="UMO18" s="233"/>
      <c r="UMP18" s="233"/>
      <c r="UMQ18" s="233"/>
      <c r="UMR18" s="233"/>
      <c r="UMS18" s="233"/>
      <c r="UMT18" s="233"/>
      <c r="UMU18" s="231"/>
      <c r="UMV18" s="231"/>
      <c r="UMW18" s="229"/>
      <c r="UMX18" s="230"/>
      <c r="UMY18" s="231"/>
      <c r="UMZ18" s="232"/>
      <c r="UNA18" s="233"/>
      <c r="UNB18" s="233"/>
      <c r="UNC18" s="233"/>
      <c r="UND18" s="233"/>
      <c r="UNE18" s="233"/>
      <c r="UNF18" s="233"/>
      <c r="UNG18" s="231"/>
      <c r="UNH18" s="231"/>
      <c r="UNI18" s="229"/>
      <c r="UNJ18" s="230"/>
      <c r="UNK18" s="231"/>
      <c r="UNL18" s="232"/>
      <c r="UNM18" s="233"/>
      <c r="UNN18" s="233"/>
      <c r="UNO18" s="233"/>
      <c r="UNP18" s="233"/>
      <c r="UNQ18" s="233"/>
      <c r="UNR18" s="233"/>
      <c r="UNS18" s="231"/>
      <c r="UNT18" s="231"/>
      <c r="UNU18" s="229"/>
      <c r="UNV18" s="230"/>
      <c r="UNW18" s="231"/>
      <c r="UNX18" s="232"/>
      <c r="UNY18" s="233"/>
      <c r="UNZ18" s="233"/>
      <c r="UOA18" s="233"/>
      <c r="UOB18" s="233"/>
      <c r="UOC18" s="233"/>
      <c r="UOD18" s="233"/>
      <c r="UOE18" s="231"/>
      <c r="UOF18" s="231"/>
      <c r="UOG18" s="229"/>
      <c r="UOH18" s="230"/>
      <c r="UOI18" s="231"/>
      <c r="UOJ18" s="232"/>
      <c r="UOK18" s="233"/>
      <c r="UOL18" s="233"/>
      <c r="UOM18" s="233"/>
      <c r="UON18" s="233"/>
      <c r="UOO18" s="233"/>
      <c r="UOP18" s="233"/>
      <c r="UOQ18" s="231"/>
      <c r="UOR18" s="231"/>
      <c r="UOS18" s="229"/>
      <c r="UOT18" s="230"/>
      <c r="UOU18" s="231"/>
      <c r="UOV18" s="232"/>
      <c r="UOW18" s="233"/>
      <c r="UOX18" s="233"/>
      <c r="UOY18" s="233"/>
      <c r="UOZ18" s="233"/>
      <c r="UPA18" s="233"/>
      <c r="UPB18" s="233"/>
      <c r="UPC18" s="231"/>
      <c r="UPD18" s="231"/>
      <c r="UPE18" s="229"/>
      <c r="UPF18" s="230"/>
      <c r="UPG18" s="231"/>
      <c r="UPH18" s="232"/>
      <c r="UPI18" s="233"/>
      <c r="UPJ18" s="233"/>
      <c r="UPK18" s="233"/>
      <c r="UPL18" s="233"/>
      <c r="UPM18" s="233"/>
      <c r="UPN18" s="233"/>
      <c r="UPO18" s="231"/>
      <c r="UPP18" s="231"/>
      <c r="UPQ18" s="229"/>
      <c r="UPR18" s="230"/>
      <c r="UPS18" s="231"/>
      <c r="UPT18" s="232"/>
      <c r="UPU18" s="233"/>
      <c r="UPV18" s="233"/>
      <c r="UPW18" s="233"/>
      <c r="UPX18" s="233"/>
      <c r="UPY18" s="233"/>
      <c r="UPZ18" s="233"/>
      <c r="UQA18" s="231"/>
      <c r="UQB18" s="231"/>
      <c r="UQC18" s="229"/>
      <c r="UQD18" s="230"/>
      <c r="UQE18" s="231"/>
      <c r="UQF18" s="232"/>
      <c r="UQG18" s="233"/>
      <c r="UQH18" s="233"/>
      <c r="UQI18" s="233"/>
      <c r="UQJ18" s="233"/>
      <c r="UQK18" s="233"/>
      <c r="UQL18" s="233"/>
      <c r="UQM18" s="231"/>
      <c r="UQN18" s="231"/>
      <c r="UQO18" s="229"/>
      <c r="UQP18" s="230"/>
      <c r="UQQ18" s="231"/>
      <c r="UQR18" s="232"/>
      <c r="UQS18" s="233"/>
      <c r="UQT18" s="233"/>
      <c r="UQU18" s="233"/>
      <c r="UQV18" s="233"/>
      <c r="UQW18" s="233"/>
      <c r="UQX18" s="233"/>
      <c r="UQY18" s="231"/>
      <c r="UQZ18" s="231"/>
      <c r="URA18" s="229"/>
      <c r="URB18" s="230"/>
      <c r="URC18" s="231"/>
      <c r="URD18" s="232"/>
      <c r="URE18" s="233"/>
      <c r="URF18" s="233"/>
      <c r="URG18" s="233"/>
      <c r="URH18" s="233"/>
      <c r="URI18" s="233"/>
      <c r="URJ18" s="233"/>
      <c r="URK18" s="231"/>
      <c r="URL18" s="231"/>
      <c r="URM18" s="229"/>
      <c r="URN18" s="230"/>
      <c r="URO18" s="231"/>
      <c r="URP18" s="232"/>
      <c r="URQ18" s="233"/>
      <c r="URR18" s="233"/>
      <c r="URS18" s="233"/>
      <c r="URT18" s="233"/>
      <c r="URU18" s="233"/>
      <c r="URV18" s="233"/>
      <c r="URW18" s="231"/>
      <c r="URX18" s="231"/>
      <c r="URY18" s="229"/>
      <c r="URZ18" s="230"/>
      <c r="USA18" s="231"/>
      <c r="USB18" s="232"/>
      <c r="USC18" s="233"/>
      <c r="USD18" s="233"/>
      <c r="USE18" s="233"/>
      <c r="USF18" s="233"/>
      <c r="USG18" s="233"/>
      <c r="USH18" s="233"/>
      <c r="USI18" s="231"/>
      <c r="USJ18" s="231"/>
      <c r="USK18" s="229"/>
      <c r="USL18" s="230"/>
      <c r="USM18" s="231"/>
      <c r="USN18" s="232"/>
      <c r="USO18" s="233"/>
      <c r="USP18" s="233"/>
      <c r="USQ18" s="233"/>
      <c r="USR18" s="233"/>
      <c r="USS18" s="233"/>
      <c r="UST18" s="233"/>
      <c r="USU18" s="231"/>
      <c r="USV18" s="231"/>
      <c r="USW18" s="229"/>
      <c r="USX18" s="230"/>
      <c r="USY18" s="231"/>
      <c r="USZ18" s="232"/>
      <c r="UTA18" s="233"/>
      <c r="UTB18" s="233"/>
      <c r="UTC18" s="233"/>
      <c r="UTD18" s="233"/>
      <c r="UTE18" s="233"/>
      <c r="UTF18" s="233"/>
      <c r="UTG18" s="231"/>
      <c r="UTH18" s="231"/>
      <c r="UTI18" s="229"/>
      <c r="UTJ18" s="230"/>
      <c r="UTK18" s="231"/>
      <c r="UTL18" s="232"/>
      <c r="UTM18" s="233"/>
      <c r="UTN18" s="233"/>
      <c r="UTO18" s="233"/>
      <c r="UTP18" s="233"/>
      <c r="UTQ18" s="233"/>
      <c r="UTR18" s="233"/>
      <c r="UTS18" s="231"/>
      <c r="UTT18" s="231"/>
      <c r="UTU18" s="229"/>
      <c r="UTV18" s="230"/>
      <c r="UTW18" s="231"/>
      <c r="UTX18" s="232"/>
      <c r="UTY18" s="233"/>
      <c r="UTZ18" s="233"/>
      <c r="UUA18" s="233"/>
      <c r="UUB18" s="233"/>
      <c r="UUC18" s="233"/>
      <c r="UUD18" s="233"/>
      <c r="UUE18" s="231"/>
      <c r="UUF18" s="231"/>
      <c r="UUG18" s="229"/>
      <c r="UUH18" s="230"/>
      <c r="UUI18" s="231"/>
      <c r="UUJ18" s="232"/>
      <c r="UUK18" s="233"/>
      <c r="UUL18" s="233"/>
      <c r="UUM18" s="233"/>
      <c r="UUN18" s="233"/>
      <c r="UUO18" s="233"/>
      <c r="UUP18" s="233"/>
      <c r="UUQ18" s="231"/>
      <c r="UUR18" s="231"/>
      <c r="UUS18" s="229"/>
      <c r="UUT18" s="230"/>
      <c r="UUU18" s="231"/>
      <c r="UUV18" s="232"/>
      <c r="UUW18" s="233"/>
      <c r="UUX18" s="233"/>
      <c r="UUY18" s="233"/>
      <c r="UUZ18" s="233"/>
      <c r="UVA18" s="233"/>
      <c r="UVB18" s="233"/>
      <c r="UVC18" s="231"/>
      <c r="UVD18" s="231"/>
      <c r="UVE18" s="229"/>
      <c r="UVF18" s="230"/>
      <c r="UVG18" s="231"/>
      <c r="UVH18" s="232"/>
      <c r="UVI18" s="233"/>
      <c r="UVJ18" s="233"/>
      <c r="UVK18" s="233"/>
      <c r="UVL18" s="233"/>
      <c r="UVM18" s="233"/>
      <c r="UVN18" s="233"/>
      <c r="UVO18" s="231"/>
      <c r="UVP18" s="231"/>
      <c r="UVQ18" s="229"/>
      <c r="UVR18" s="230"/>
      <c r="UVS18" s="231"/>
      <c r="UVT18" s="232"/>
      <c r="UVU18" s="233"/>
      <c r="UVV18" s="233"/>
      <c r="UVW18" s="233"/>
      <c r="UVX18" s="233"/>
      <c r="UVY18" s="233"/>
      <c r="UVZ18" s="233"/>
      <c r="UWA18" s="231"/>
      <c r="UWB18" s="231"/>
      <c r="UWC18" s="229"/>
      <c r="UWD18" s="230"/>
      <c r="UWE18" s="231"/>
      <c r="UWF18" s="232"/>
      <c r="UWG18" s="233"/>
      <c r="UWH18" s="233"/>
      <c r="UWI18" s="233"/>
      <c r="UWJ18" s="233"/>
      <c r="UWK18" s="233"/>
      <c r="UWL18" s="233"/>
      <c r="UWM18" s="231"/>
      <c r="UWN18" s="231"/>
      <c r="UWO18" s="229"/>
      <c r="UWP18" s="230"/>
      <c r="UWQ18" s="231"/>
      <c r="UWR18" s="232"/>
      <c r="UWS18" s="233"/>
      <c r="UWT18" s="233"/>
      <c r="UWU18" s="233"/>
      <c r="UWV18" s="233"/>
      <c r="UWW18" s="233"/>
      <c r="UWX18" s="233"/>
      <c r="UWY18" s="231"/>
      <c r="UWZ18" s="231"/>
      <c r="UXA18" s="229"/>
      <c r="UXB18" s="230"/>
      <c r="UXC18" s="231"/>
      <c r="UXD18" s="232"/>
      <c r="UXE18" s="233"/>
      <c r="UXF18" s="233"/>
      <c r="UXG18" s="233"/>
      <c r="UXH18" s="233"/>
      <c r="UXI18" s="233"/>
      <c r="UXJ18" s="233"/>
      <c r="UXK18" s="231"/>
      <c r="UXL18" s="231"/>
      <c r="UXM18" s="229"/>
      <c r="UXN18" s="230"/>
      <c r="UXO18" s="231"/>
      <c r="UXP18" s="232"/>
      <c r="UXQ18" s="233"/>
      <c r="UXR18" s="233"/>
      <c r="UXS18" s="233"/>
      <c r="UXT18" s="233"/>
      <c r="UXU18" s="233"/>
      <c r="UXV18" s="233"/>
      <c r="UXW18" s="231"/>
      <c r="UXX18" s="231"/>
      <c r="UXY18" s="229"/>
      <c r="UXZ18" s="230"/>
      <c r="UYA18" s="231"/>
      <c r="UYB18" s="232"/>
      <c r="UYC18" s="233"/>
      <c r="UYD18" s="233"/>
      <c r="UYE18" s="233"/>
      <c r="UYF18" s="233"/>
      <c r="UYG18" s="233"/>
      <c r="UYH18" s="233"/>
      <c r="UYI18" s="231"/>
      <c r="UYJ18" s="231"/>
      <c r="UYK18" s="229"/>
      <c r="UYL18" s="230"/>
      <c r="UYM18" s="231"/>
      <c r="UYN18" s="232"/>
      <c r="UYO18" s="233"/>
      <c r="UYP18" s="233"/>
      <c r="UYQ18" s="233"/>
      <c r="UYR18" s="233"/>
      <c r="UYS18" s="233"/>
      <c r="UYT18" s="233"/>
      <c r="UYU18" s="231"/>
      <c r="UYV18" s="231"/>
      <c r="UYW18" s="229"/>
      <c r="UYX18" s="230"/>
      <c r="UYY18" s="231"/>
      <c r="UYZ18" s="232"/>
      <c r="UZA18" s="233"/>
      <c r="UZB18" s="233"/>
      <c r="UZC18" s="233"/>
      <c r="UZD18" s="233"/>
      <c r="UZE18" s="233"/>
      <c r="UZF18" s="233"/>
      <c r="UZG18" s="231"/>
      <c r="UZH18" s="231"/>
      <c r="UZI18" s="229"/>
      <c r="UZJ18" s="230"/>
      <c r="UZK18" s="231"/>
      <c r="UZL18" s="232"/>
      <c r="UZM18" s="233"/>
      <c r="UZN18" s="233"/>
      <c r="UZO18" s="233"/>
      <c r="UZP18" s="233"/>
      <c r="UZQ18" s="233"/>
      <c r="UZR18" s="233"/>
      <c r="UZS18" s="231"/>
      <c r="UZT18" s="231"/>
      <c r="UZU18" s="229"/>
      <c r="UZV18" s="230"/>
      <c r="UZW18" s="231"/>
      <c r="UZX18" s="232"/>
      <c r="UZY18" s="233"/>
      <c r="UZZ18" s="233"/>
      <c r="VAA18" s="233"/>
      <c r="VAB18" s="233"/>
      <c r="VAC18" s="233"/>
      <c r="VAD18" s="233"/>
      <c r="VAE18" s="231"/>
      <c r="VAF18" s="231"/>
      <c r="VAG18" s="229"/>
      <c r="VAH18" s="230"/>
      <c r="VAI18" s="231"/>
      <c r="VAJ18" s="232"/>
      <c r="VAK18" s="233"/>
      <c r="VAL18" s="233"/>
      <c r="VAM18" s="233"/>
      <c r="VAN18" s="233"/>
      <c r="VAO18" s="233"/>
      <c r="VAP18" s="233"/>
      <c r="VAQ18" s="231"/>
      <c r="VAR18" s="231"/>
      <c r="VAS18" s="229"/>
      <c r="VAT18" s="230"/>
      <c r="VAU18" s="231"/>
      <c r="VAV18" s="232"/>
      <c r="VAW18" s="233"/>
      <c r="VAX18" s="233"/>
      <c r="VAY18" s="233"/>
      <c r="VAZ18" s="233"/>
      <c r="VBA18" s="233"/>
      <c r="VBB18" s="233"/>
      <c r="VBC18" s="231"/>
      <c r="VBD18" s="231"/>
      <c r="VBE18" s="229"/>
      <c r="VBF18" s="230"/>
      <c r="VBG18" s="231"/>
      <c r="VBH18" s="232"/>
      <c r="VBI18" s="233"/>
      <c r="VBJ18" s="233"/>
      <c r="VBK18" s="233"/>
      <c r="VBL18" s="233"/>
      <c r="VBM18" s="233"/>
      <c r="VBN18" s="233"/>
      <c r="VBO18" s="231"/>
      <c r="VBP18" s="231"/>
      <c r="VBQ18" s="229"/>
      <c r="VBR18" s="230"/>
      <c r="VBS18" s="231"/>
      <c r="VBT18" s="232"/>
      <c r="VBU18" s="233"/>
      <c r="VBV18" s="233"/>
      <c r="VBW18" s="233"/>
      <c r="VBX18" s="233"/>
      <c r="VBY18" s="233"/>
      <c r="VBZ18" s="233"/>
      <c r="VCA18" s="231"/>
      <c r="VCB18" s="231"/>
      <c r="VCC18" s="229"/>
      <c r="VCD18" s="230"/>
      <c r="VCE18" s="231"/>
      <c r="VCF18" s="232"/>
      <c r="VCG18" s="233"/>
      <c r="VCH18" s="233"/>
      <c r="VCI18" s="233"/>
      <c r="VCJ18" s="233"/>
      <c r="VCK18" s="233"/>
      <c r="VCL18" s="233"/>
      <c r="VCM18" s="231"/>
      <c r="VCN18" s="231"/>
      <c r="VCO18" s="229"/>
      <c r="VCP18" s="230"/>
      <c r="VCQ18" s="231"/>
      <c r="VCR18" s="232"/>
      <c r="VCS18" s="233"/>
      <c r="VCT18" s="233"/>
      <c r="VCU18" s="233"/>
      <c r="VCV18" s="233"/>
      <c r="VCW18" s="233"/>
      <c r="VCX18" s="233"/>
      <c r="VCY18" s="231"/>
      <c r="VCZ18" s="231"/>
      <c r="VDA18" s="229"/>
      <c r="VDB18" s="230"/>
      <c r="VDC18" s="231"/>
      <c r="VDD18" s="232"/>
      <c r="VDE18" s="233"/>
      <c r="VDF18" s="233"/>
      <c r="VDG18" s="233"/>
      <c r="VDH18" s="233"/>
      <c r="VDI18" s="233"/>
      <c r="VDJ18" s="233"/>
      <c r="VDK18" s="231"/>
      <c r="VDL18" s="231"/>
      <c r="VDM18" s="229"/>
      <c r="VDN18" s="230"/>
      <c r="VDO18" s="231"/>
      <c r="VDP18" s="232"/>
      <c r="VDQ18" s="233"/>
      <c r="VDR18" s="233"/>
      <c r="VDS18" s="233"/>
      <c r="VDT18" s="233"/>
      <c r="VDU18" s="233"/>
      <c r="VDV18" s="233"/>
      <c r="VDW18" s="231"/>
      <c r="VDX18" s="231"/>
      <c r="VDY18" s="229"/>
      <c r="VDZ18" s="230"/>
      <c r="VEA18" s="231"/>
      <c r="VEB18" s="232"/>
      <c r="VEC18" s="233"/>
      <c r="VED18" s="233"/>
      <c r="VEE18" s="233"/>
      <c r="VEF18" s="233"/>
      <c r="VEG18" s="233"/>
      <c r="VEH18" s="233"/>
      <c r="VEI18" s="231"/>
      <c r="VEJ18" s="231"/>
      <c r="VEK18" s="229"/>
      <c r="VEL18" s="230"/>
      <c r="VEM18" s="231"/>
      <c r="VEN18" s="232"/>
      <c r="VEO18" s="233"/>
      <c r="VEP18" s="233"/>
      <c r="VEQ18" s="233"/>
      <c r="VER18" s="233"/>
      <c r="VES18" s="233"/>
      <c r="VET18" s="233"/>
      <c r="VEU18" s="231"/>
      <c r="VEV18" s="231"/>
      <c r="VEW18" s="229"/>
      <c r="VEX18" s="230"/>
      <c r="VEY18" s="231"/>
      <c r="VEZ18" s="232"/>
      <c r="VFA18" s="233"/>
      <c r="VFB18" s="233"/>
      <c r="VFC18" s="233"/>
      <c r="VFD18" s="233"/>
      <c r="VFE18" s="233"/>
      <c r="VFF18" s="233"/>
      <c r="VFG18" s="231"/>
      <c r="VFH18" s="231"/>
      <c r="VFI18" s="229"/>
      <c r="VFJ18" s="230"/>
      <c r="VFK18" s="231"/>
      <c r="VFL18" s="232"/>
      <c r="VFM18" s="233"/>
      <c r="VFN18" s="233"/>
      <c r="VFO18" s="233"/>
      <c r="VFP18" s="233"/>
      <c r="VFQ18" s="233"/>
      <c r="VFR18" s="233"/>
      <c r="VFS18" s="231"/>
      <c r="VFT18" s="231"/>
      <c r="VFU18" s="229"/>
      <c r="VFV18" s="230"/>
      <c r="VFW18" s="231"/>
      <c r="VFX18" s="232"/>
      <c r="VFY18" s="233"/>
      <c r="VFZ18" s="233"/>
      <c r="VGA18" s="233"/>
      <c r="VGB18" s="233"/>
      <c r="VGC18" s="233"/>
      <c r="VGD18" s="233"/>
      <c r="VGE18" s="231"/>
      <c r="VGF18" s="231"/>
      <c r="VGG18" s="229"/>
      <c r="VGH18" s="230"/>
      <c r="VGI18" s="231"/>
      <c r="VGJ18" s="232"/>
      <c r="VGK18" s="233"/>
      <c r="VGL18" s="233"/>
      <c r="VGM18" s="233"/>
      <c r="VGN18" s="233"/>
      <c r="VGO18" s="233"/>
      <c r="VGP18" s="233"/>
      <c r="VGQ18" s="231"/>
      <c r="VGR18" s="231"/>
      <c r="VGS18" s="229"/>
      <c r="VGT18" s="230"/>
      <c r="VGU18" s="231"/>
      <c r="VGV18" s="232"/>
      <c r="VGW18" s="233"/>
      <c r="VGX18" s="233"/>
      <c r="VGY18" s="233"/>
      <c r="VGZ18" s="233"/>
      <c r="VHA18" s="233"/>
      <c r="VHB18" s="233"/>
      <c r="VHC18" s="231"/>
      <c r="VHD18" s="231"/>
      <c r="VHE18" s="229"/>
      <c r="VHF18" s="230"/>
      <c r="VHG18" s="231"/>
      <c r="VHH18" s="232"/>
      <c r="VHI18" s="233"/>
      <c r="VHJ18" s="233"/>
      <c r="VHK18" s="233"/>
      <c r="VHL18" s="233"/>
      <c r="VHM18" s="233"/>
      <c r="VHN18" s="233"/>
      <c r="VHO18" s="231"/>
      <c r="VHP18" s="231"/>
      <c r="VHQ18" s="229"/>
      <c r="VHR18" s="230"/>
      <c r="VHS18" s="231"/>
      <c r="VHT18" s="232"/>
      <c r="VHU18" s="233"/>
      <c r="VHV18" s="233"/>
      <c r="VHW18" s="233"/>
      <c r="VHX18" s="233"/>
      <c r="VHY18" s="233"/>
      <c r="VHZ18" s="233"/>
      <c r="VIA18" s="231"/>
      <c r="VIB18" s="231"/>
      <c r="VIC18" s="229"/>
      <c r="VID18" s="230"/>
      <c r="VIE18" s="231"/>
      <c r="VIF18" s="232"/>
      <c r="VIG18" s="233"/>
      <c r="VIH18" s="233"/>
      <c r="VII18" s="233"/>
      <c r="VIJ18" s="233"/>
      <c r="VIK18" s="233"/>
      <c r="VIL18" s="233"/>
      <c r="VIM18" s="231"/>
      <c r="VIN18" s="231"/>
      <c r="VIO18" s="229"/>
      <c r="VIP18" s="230"/>
      <c r="VIQ18" s="231"/>
      <c r="VIR18" s="232"/>
      <c r="VIS18" s="233"/>
      <c r="VIT18" s="233"/>
      <c r="VIU18" s="233"/>
      <c r="VIV18" s="233"/>
      <c r="VIW18" s="233"/>
      <c r="VIX18" s="233"/>
      <c r="VIY18" s="231"/>
      <c r="VIZ18" s="231"/>
      <c r="VJA18" s="229"/>
      <c r="VJB18" s="230"/>
      <c r="VJC18" s="231"/>
      <c r="VJD18" s="232"/>
      <c r="VJE18" s="233"/>
      <c r="VJF18" s="233"/>
      <c r="VJG18" s="233"/>
      <c r="VJH18" s="233"/>
      <c r="VJI18" s="233"/>
      <c r="VJJ18" s="233"/>
      <c r="VJK18" s="231"/>
      <c r="VJL18" s="231"/>
      <c r="VJM18" s="229"/>
      <c r="VJN18" s="230"/>
      <c r="VJO18" s="231"/>
      <c r="VJP18" s="232"/>
      <c r="VJQ18" s="233"/>
      <c r="VJR18" s="233"/>
      <c r="VJS18" s="233"/>
      <c r="VJT18" s="233"/>
      <c r="VJU18" s="233"/>
      <c r="VJV18" s="233"/>
      <c r="VJW18" s="231"/>
      <c r="VJX18" s="231"/>
      <c r="VJY18" s="229"/>
      <c r="VJZ18" s="230"/>
      <c r="VKA18" s="231"/>
      <c r="VKB18" s="232"/>
      <c r="VKC18" s="233"/>
      <c r="VKD18" s="233"/>
      <c r="VKE18" s="233"/>
      <c r="VKF18" s="233"/>
      <c r="VKG18" s="233"/>
      <c r="VKH18" s="233"/>
      <c r="VKI18" s="231"/>
      <c r="VKJ18" s="231"/>
      <c r="VKK18" s="229"/>
      <c r="VKL18" s="230"/>
      <c r="VKM18" s="231"/>
      <c r="VKN18" s="232"/>
      <c r="VKO18" s="233"/>
      <c r="VKP18" s="233"/>
      <c r="VKQ18" s="233"/>
      <c r="VKR18" s="233"/>
      <c r="VKS18" s="233"/>
      <c r="VKT18" s="233"/>
      <c r="VKU18" s="231"/>
      <c r="VKV18" s="231"/>
      <c r="VKW18" s="229"/>
      <c r="VKX18" s="230"/>
      <c r="VKY18" s="231"/>
      <c r="VKZ18" s="232"/>
      <c r="VLA18" s="233"/>
      <c r="VLB18" s="233"/>
      <c r="VLC18" s="233"/>
      <c r="VLD18" s="233"/>
      <c r="VLE18" s="233"/>
      <c r="VLF18" s="233"/>
      <c r="VLG18" s="231"/>
      <c r="VLH18" s="231"/>
      <c r="VLI18" s="229"/>
      <c r="VLJ18" s="230"/>
      <c r="VLK18" s="231"/>
      <c r="VLL18" s="232"/>
      <c r="VLM18" s="233"/>
      <c r="VLN18" s="233"/>
      <c r="VLO18" s="233"/>
      <c r="VLP18" s="233"/>
      <c r="VLQ18" s="233"/>
      <c r="VLR18" s="233"/>
      <c r="VLS18" s="231"/>
      <c r="VLT18" s="231"/>
      <c r="VLU18" s="229"/>
      <c r="VLV18" s="230"/>
      <c r="VLW18" s="231"/>
      <c r="VLX18" s="232"/>
      <c r="VLY18" s="233"/>
      <c r="VLZ18" s="233"/>
      <c r="VMA18" s="233"/>
      <c r="VMB18" s="233"/>
      <c r="VMC18" s="233"/>
      <c r="VMD18" s="233"/>
      <c r="VME18" s="231"/>
      <c r="VMF18" s="231"/>
      <c r="VMG18" s="229"/>
      <c r="VMH18" s="230"/>
      <c r="VMI18" s="231"/>
      <c r="VMJ18" s="232"/>
      <c r="VMK18" s="233"/>
      <c r="VML18" s="233"/>
      <c r="VMM18" s="233"/>
      <c r="VMN18" s="233"/>
      <c r="VMO18" s="233"/>
      <c r="VMP18" s="233"/>
      <c r="VMQ18" s="231"/>
      <c r="VMR18" s="231"/>
      <c r="VMS18" s="229"/>
      <c r="VMT18" s="230"/>
      <c r="VMU18" s="231"/>
      <c r="VMV18" s="232"/>
      <c r="VMW18" s="233"/>
      <c r="VMX18" s="233"/>
      <c r="VMY18" s="233"/>
      <c r="VMZ18" s="233"/>
      <c r="VNA18" s="233"/>
      <c r="VNB18" s="233"/>
      <c r="VNC18" s="231"/>
      <c r="VND18" s="231"/>
      <c r="VNE18" s="229"/>
      <c r="VNF18" s="230"/>
      <c r="VNG18" s="231"/>
      <c r="VNH18" s="232"/>
      <c r="VNI18" s="233"/>
      <c r="VNJ18" s="233"/>
      <c r="VNK18" s="233"/>
      <c r="VNL18" s="233"/>
      <c r="VNM18" s="233"/>
      <c r="VNN18" s="233"/>
      <c r="VNO18" s="231"/>
      <c r="VNP18" s="231"/>
      <c r="VNQ18" s="229"/>
      <c r="VNR18" s="230"/>
      <c r="VNS18" s="231"/>
      <c r="VNT18" s="232"/>
      <c r="VNU18" s="233"/>
      <c r="VNV18" s="233"/>
      <c r="VNW18" s="233"/>
      <c r="VNX18" s="233"/>
      <c r="VNY18" s="233"/>
      <c r="VNZ18" s="233"/>
      <c r="VOA18" s="231"/>
      <c r="VOB18" s="231"/>
      <c r="VOC18" s="229"/>
      <c r="VOD18" s="230"/>
      <c r="VOE18" s="231"/>
      <c r="VOF18" s="232"/>
      <c r="VOG18" s="233"/>
      <c r="VOH18" s="233"/>
      <c r="VOI18" s="233"/>
      <c r="VOJ18" s="233"/>
      <c r="VOK18" s="233"/>
      <c r="VOL18" s="233"/>
      <c r="VOM18" s="231"/>
      <c r="VON18" s="231"/>
      <c r="VOO18" s="229"/>
      <c r="VOP18" s="230"/>
      <c r="VOQ18" s="231"/>
      <c r="VOR18" s="232"/>
      <c r="VOS18" s="233"/>
      <c r="VOT18" s="233"/>
      <c r="VOU18" s="233"/>
      <c r="VOV18" s="233"/>
      <c r="VOW18" s="233"/>
      <c r="VOX18" s="233"/>
      <c r="VOY18" s="231"/>
      <c r="VOZ18" s="231"/>
      <c r="VPA18" s="229"/>
      <c r="VPB18" s="230"/>
      <c r="VPC18" s="231"/>
      <c r="VPD18" s="232"/>
      <c r="VPE18" s="233"/>
      <c r="VPF18" s="233"/>
      <c r="VPG18" s="233"/>
      <c r="VPH18" s="233"/>
      <c r="VPI18" s="233"/>
      <c r="VPJ18" s="233"/>
      <c r="VPK18" s="231"/>
      <c r="VPL18" s="231"/>
      <c r="VPM18" s="229"/>
      <c r="VPN18" s="230"/>
      <c r="VPO18" s="231"/>
      <c r="VPP18" s="232"/>
      <c r="VPQ18" s="233"/>
      <c r="VPR18" s="233"/>
      <c r="VPS18" s="233"/>
      <c r="VPT18" s="233"/>
      <c r="VPU18" s="233"/>
      <c r="VPV18" s="233"/>
      <c r="VPW18" s="231"/>
      <c r="VPX18" s="231"/>
      <c r="VPY18" s="229"/>
      <c r="VPZ18" s="230"/>
      <c r="VQA18" s="231"/>
      <c r="VQB18" s="232"/>
      <c r="VQC18" s="233"/>
      <c r="VQD18" s="233"/>
      <c r="VQE18" s="233"/>
      <c r="VQF18" s="233"/>
      <c r="VQG18" s="233"/>
      <c r="VQH18" s="233"/>
      <c r="VQI18" s="231"/>
      <c r="VQJ18" s="231"/>
      <c r="VQK18" s="229"/>
      <c r="VQL18" s="230"/>
      <c r="VQM18" s="231"/>
      <c r="VQN18" s="232"/>
      <c r="VQO18" s="233"/>
      <c r="VQP18" s="233"/>
      <c r="VQQ18" s="233"/>
      <c r="VQR18" s="233"/>
      <c r="VQS18" s="233"/>
      <c r="VQT18" s="233"/>
      <c r="VQU18" s="231"/>
      <c r="VQV18" s="231"/>
      <c r="VQW18" s="229"/>
      <c r="VQX18" s="230"/>
      <c r="VQY18" s="231"/>
      <c r="VQZ18" s="232"/>
      <c r="VRA18" s="233"/>
      <c r="VRB18" s="233"/>
      <c r="VRC18" s="233"/>
      <c r="VRD18" s="233"/>
      <c r="VRE18" s="233"/>
      <c r="VRF18" s="233"/>
      <c r="VRG18" s="231"/>
      <c r="VRH18" s="231"/>
      <c r="VRI18" s="229"/>
      <c r="VRJ18" s="230"/>
      <c r="VRK18" s="231"/>
      <c r="VRL18" s="232"/>
      <c r="VRM18" s="233"/>
      <c r="VRN18" s="233"/>
      <c r="VRO18" s="233"/>
      <c r="VRP18" s="233"/>
      <c r="VRQ18" s="233"/>
      <c r="VRR18" s="233"/>
      <c r="VRS18" s="231"/>
      <c r="VRT18" s="231"/>
      <c r="VRU18" s="229"/>
      <c r="VRV18" s="230"/>
      <c r="VRW18" s="231"/>
      <c r="VRX18" s="232"/>
      <c r="VRY18" s="233"/>
      <c r="VRZ18" s="233"/>
      <c r="VSA18" s="233"/>
      <c r="VSB18" s="233"/>
      <c r="VSC18" s="233"/>
      <c r="VSD18" s="233"/>
      <c r="VSE18" s="231"/>
      <c r="VSF18" s="231"/>
      <c r="VSG18" s="229"/>
      <c r="VSH18" s="230"/>
      <c r="VSI18" s="231"/>
      <c r="VSJ18" s="232"/>
      <c r="VSK18" s="233"/>
      <c r="VSL18" s="233"/>
      <c r="VSM18" s="233"/>
      <c r="VSN18" s="233"/>
      <c r="VSO18" s="233"/>
      <c r="VSP18" s="233"/>
      <c r="VSQ18" s="231"/>
      <c r="VSR18" s="231"/>
      <c r="VSS18" s="229"/>
      <c r="VST18" s="230"/>
      <c r="VSU18" s="231"/>
      <c r="VSV18" s="232"/>
      <c r="VSW18" s="233"/>
      <c r="VSX18" s="233"/>
      <c r="VSY18" s="233"/>
      <c r="VSZ18" s="233"/>
      <c r="VTA18" s="233"/>
      <c r="VTB18" s="233"/>
      <c r="VTC18" s="231"/>
      <c r="VTD18" s="231"/>
      <c r="VTE18" s="229"/>
      <c r="VTF18" s="230"/>
      <c r="VTG18" s="231"/>
      <c r="VTH18" s="232"/>
      <c r="VTI18" s="233"/>
      <c r="VTJ18" s="233"/>
      <c r="VTK18" s="233"/>
      <c r="VTL18" s="233"/>
      <c r="VTM18" s="233"/>
      <c r="VTN18" s="233"/>
      <c r="VTO18" s="231"/>
      <c r="VTP18" s="231"/>
      <c r="VTQ18" s="229"/>
      <c r="VTR18" s="230"/>
      <c r="VTS18" s="231"/>
      <c r="VTT18" s="232"/>
      <c r="VTU18" s="233"/>
      <c r="VTV18" s="233"/>
      <c r="VTW18" s="233"/>
      <c r="VTX18" s="233"/>
      <c r="VTY18" s="233"/>
      <c r="VTZ18" s="233"/>
      <c r="VUA18" s="231"/>
      <c r="VUB18" s="231"/>
      <c r="VUC18" s="229"/>
      <c r="VUD18" s="230"/>
      <c r="VUE18" s="231"/>
      <c r="VUF18" s="232"/>
      <c r="VUG18" s="233"/>
      <c r="VUH18" s="233"/>
      <c r="VUI18" s="233"/>
      <c r="VUJ18" s="233"/>
      <c r="VUK18" s="233"/>
      <c r="VUL18" s="233"/>
      <c r="VUM18" s="231"/>
      <c r="VUN18" s="231"/>
      <c r="VUO18" s="229"/>
      <c r="VUP18" s="230"/>
      <c r="VUQ18" s="231"/>
      <c r="VUR18" s="232"/>
      <c r="VUS18" s="233"/>
      <c r="VUT18" s="233"/>
      <c r="VUU18" s="233"/>
      <c r="VUV18" s="233"/>
      <c r="VUW18" s="233"/>
      <c r="VUX18" s="233"/>
      <c r="VUY18" s="231"/>
      <c r="VUZ18" s="231"/>
      <c r="VVA18" s="229"/>
      <c r="VVB18" s="230"/>
      <c r="VVC18" s="231"/>
      <c r="VVD18" s="232"/>
      <c r="VVE18" s="233"/>
      <c r="VVF18" s="233"/>
      <c r="VVG18" s="233"/>
      <c r="VVH18" s="233"/>
      <c r="VVI18" s="233"/>
      <c r="VVJ18" s="233"/>
      <c r="VVK18" s="231"/>
      <c r="VVL18" s="231"/>
      <c r="VVM18" s="229"/>
      <c r="VVN18" s="230"/>
      <c r="VVO18" s="231"/>
      <c r="VVP18" s="232"/>
      <c r="VVQ18" s="233"/>
      <c r="VVR18" s="233"/>
      <c r="VVS18" s="233"/>
      <c r="VVT18" s="233"/>
      <c r="VVU18" s="233"/>
      <c r="VVV18" s="233"/>
      <c r="VVW18" s="231"/>
      <c r="VVX18" s="231"/>
      <c r="VVY18" s="229"/>
      <c r="VVZ18" s="230"/>
      <c r="VWA18" s="231"/>
      <c r="VWB18" s="232"/>
      <c r="VWC18" s="233"/>
      <c r="VWD18" s="233"/>
      <c r="VWE18" s="233"/>
      <c r="VWF18" s="233"/>
      <c r="VWG18" s="233"/>
      <c r="VWH18" s="233"/>
      <c r="VWI18" s="231"/>
      <c r="VWJ18" s="231"/>
      <c r="VWK18" s="229"/>
      <c r="VWL18" s="230"/>
      <c r="VWM18" s="231"/>
      <c r="VWN18" s="232"/>
      <c r="VWO18" s="233"/>
      <c r="VWP18" s="233"/>
      <c r="VWQ18" s="233"/>
      <c r="VWR18" s="233"/>
      <c r="VWS18" s="233"/>
      <c r="VWT18" s="233"/>
      <c r="VWU18" s="231"/>
      <c r="VWV18" s="231"/>
      <c r="VWW18" s="229"/>
      <c r="VWX18" s="230"/>
      <c r="VWY18" s="231"/>
      <c r="VWZ18" s="232"/>
      <c r="VXA18" s="233"/>
      <c r="VXB18" s="233"/>
      <c r="VXC18" s="233"/>
      <c r="VXD18" s="233"/>
      <c r="VXE18" s="233"/>
      <c r="VXF18" s="233"/>
      <c r="VXG18" s="231"/>
      <c r="VXH18" s="231"/>
      <c r="VXI18" s="229"/>
      <c r="VXJ18" s="230"/>
      <c r="VXK18" s="231"/>
      <c r="VXL18" s="232"/>
      <c r="VXM18" s="233"/>
      <c r="VXN18" s="233"/>
      <c r="VXO18" s="233"/>
      <c r="VXP18" s="233"/>
      <c r="VXQ18" s="233"/>
      <c r="VXR18" s="233"/>
      <c r="VXS18" s="231"/>
      <c r="VXT18" s="231"/>
      <c r="VXU18" s="229"/>
      <c r="VXV18" s="230"/>
      <c r="VXW18" s="231"/>
      <c r="VXX18" s="232"/>
      <c r="VXY18" s="233"/>
      <c r="VXZ18" s="233"/>
      <c r="VYA18" s="233"/>
      <c r="VYB18" s="233"/>
      <c r="VYC18" s="233"/>
      <c r="VYD18" s="233"/>
      <c r="VYE18" s="231"/>
      <c r="VYF18" s="231"/>
      <c r="VYG18" s="229"/>
      <c r="VYH18" s="230"/>
      <c r="VYI18" s="231"/>
      <c r="VYJ18" s="232"/>
      <c r="VYK18" s="233"/>
      <c r="VYL18" s="233"/>
      <c r="VYM18" s="233"/>
      <c r="VYN18" s="233"/>
      <c r="VYO18" s="233"/>
      <c r="VYP18" s="233"/>
      <c r="VYQ18" s="231"/>
      <c r="VYR18" s="231"/>
      <c r="VYS18" s="229"/>
      <c r="VYT18" s="230"/>
      <c r="VYU18" s="231"/>
      <c r="VYV18" s="232"/>
      <c r="VYW18" s="233"/>
      <c r="VYX18" s="233"/>
      <c r="VYY18" s="233"/>
      <c r="VYZ18" s="233"/>
      <c r="VZA18" s="233"/>
      <c r="VZB18" s="233"/>
      <c r="VZC18" s="231"/>
      <c r="VZD18" s="231"/>
      <c r="VZE18" s="229"/>
      <c r="VZF18" s="230"/>
      <c r="VZG18" s="231"/>
      <c r="VZH18" s="232"/>
      <c r="VZI18" s="233"/>
      <c r="VZJ18" s="233"/>
      <c r="VZK18" s="233"/>
      <c r="VZL18" s="233"/>
      <c r="VZM18" s="233"/>
      <c r="VZN18" s="233"/>
      <c r="VZO18" s="231"/>
      <c r="VZP18" s="231"/>
      <c r="VZQ18" s="229"/>
      <c r="VZR18" s="230"/>
      <c r="VZS18" s="231"/>
      <c r="VZT18" s="232"/>
      <c r="VZU18" s="233"/>
      <c r="VZV18" s="233"/>
      <c r="VZW18" s="233"/>
      <c r="VZX18" s="233"/>
      <c r="VZY18" s="233"/>
      <c r="VZZ18" s="233"/>
      <c r="WAA18" s="231"/>
      <c r="WAB18" s="231"/>
      <c r="WAC18" s="229"/>
      <c r="WAD18" s="230"/>
      <c r="WAE18" s="231"/>
      <c r="WAF18" s="232"/>
      <c r="WAG18" s="233"/>
      <c r="WAH18" s="233"/>
      <c r="WAI18" s="233"/>
      <c r="WAJ18" s="233"/>
      <c r="WAK18" s="233"/>
      <c r="WAL18" s="233"/>
      <c r="WAM18" s="231"/>
      <c r="WAN18" s="231"/>
      <c r="WAO18" s="229"/>
      <c r="WAP18" s="230"/>
      <c r="WAQ18" s="231"/>
      <c r="WAR18" s="232"/>
      <c r="WAS18" s="233"/>
      <c r="WAT18" s="233"/>
      <c r="WAU18" s="233"/>
      <c r="WAV18" s="233"/>
      <c r="WAW18" s="233"/>
      <c r="WAX18" s="233"/>
      <c r="WAY18" s="231"/>
      <c r="WAZ18" s="231"/>
      <c r="WBA18" s="229"/>
      <c r="WBB18" s="230"/>
      <c r="WBC18" s="231"/>
      <c r="WBD18" s="232"/>
      <c r="WBE18" s="233"/>
      <c r="WBF18" s="233"/>
      <c r="WBG18" s="233"/>
      <c r="WBH18" s="233"/>
      <c r="WBI18" s="233"/>
      <c r="WBJ18" s="233"/>
      <c r="WBK18" s="231"/>
      <c r="WBL18" s="231"/>
      <c r="WBM18" s="229"/>
      <c r="WBN18" s="230"/>
      <c r="WBO18" s="231"/>
      <c r="WBP18" s="232"/>
      <c r="WBQ18" s="233"/>
      <c r="WBR18" s="233"/>
      <c r="WBS18" s="233"/>
      <c r="WBT18" s="233"/>
      <c r="WBU18" s="233"/>
      <c r="WBV18" s="233"/>
      <c r="WBW18" s="231"/>
      <c r="WBX18" s="231"/>
      <c r="WBY18" s="229"/>
      <c r="WBZ18" s="230"/>
      <c r="WCA18" s="231"/>
      <c r="WCB18" s="232"/>
      <c r="WCC18" s="233"/>
      <c r="WCD18" s="233"/>
      <c r="WCE18" s="233"/>
      <c r="WCF18" s="233"/>
      <c r="WCG18" s="233"/>
      <c r="WCH18" s="233"/>
      <c r="WCI18" s="231"/>
      <c r="WCJ18" s="231"/>
      <c r="WCK18" s="229"/>
      <c r="WCL18" s="230"/>
      <c r="WCM18" s="231"/>
      <c r="WCN18" s="232"/>
      <c r="WCO18" s="233"/>
      <c r="WCP18" s="233"/>
      <c r="WCQ18" s="233"/>
      <c r="WCR18" s="233"/>
      <c r="WCS18" s="233"/>
      <c r="WCT18" s="233"/>
      <c r="WCU18" s="231"/>
      <c r="WCV18" s="231"/>
      <c r="WCW18" s="229"/>
      <c r="WCX18" s="230"/>
      <c r="WCY18" s="231"/>
      <c r="WCZ18" s="232"/>
      <c r="WDA18" s="233"/>
      <c r="WDB18" s="233"/>
      <c r="WDC18" s="233"/>
      <c r="WDD18" s="233"/>
      <c r="WDE18" s="233"/>
      <c r="WDF18" s="233"/>
      <c r="WDG18" s="231"/>
      <c r="WDH18" s="231"/>
      <c r="WDI18" s="229"/>
      <c r="WDJ18" s="230"/>
      <c r="WDK18" s="231"/>
      <c r="WDL18" s="232"/>
      <c r="WDM18" s="233"/>
      <c r="WDN18" s="233"/>
      <c r="WDO18" s="233"/>
      <c r="WDP18" s="233"/>
      <c r="WDQ18" s="233"/>
      <c r="WDR18" s="233"/>
      <c r="WDS18" s="231"/>
      <c r="WDT18" s="231"/>
      <c r="WDU18" s="229"/>
      <c r="WDV18" s="230"/>
      <c r="WDW18" s="231"/>
      <c r="WDX18" s="232"/>
      <c r="WDY18" s="233"/>
      <c r="WDZ18" s="233"/>
      <c r="WEA18" s="233"/>
      <c r="WEB18" s="233"/>
      <c r="WEC18" s="233"/>
      <c r="WED18" s="233"/>
      <c r="WEE18" s="231"/>
      <c r="WEF18" s="231"/>
      <c r="WEG18" s="229"/>
      <c r="WEH18" s="230"/>
      <c r="WEI18" s="231"/>
      <c r="WEJ18" s="232"/>
      <c r="WEK18" s="233"/>
      <c r="WEL18" s="233"/>
      <c r="WEM18" s="233"/>
      <c r="WEN18" s="233"/>
      <c r="WEO18" s="233"/>
      <c r="WEP18" s="233"/>
      <c r="WEQ18" s="231"/>
      <c r="WER18" s="231"/>
      <c r="WES18" s="229"/>
      <c r="WET18" s="230"/>
      <c r="WEU18" s="231"/>
      <c r="WEV18" s="232"/>
      <c r="WEW18" s="233"/>
      <c r="WEX18" s="233"/>
      <c r="WEY18" s="233"/>
      <c r="WEZ18" s="233"/>
      <c r="WFA18" s="233"/>
      <c r="WFB18" s="233"/>
      <c r="WFC18" s="231"/>
      <c r="WFD18" s="231"/>
      <c r="WFE18" s="229"/>
      <c r="WFF18" s="230"/>
      <c r="WFG18" s="231"/>
      <c r="WFH18" s="232"/>
      <c r="WFI18" s="233"/>
      <c r="WFJ18" s="233"/>
      <c r="WFK18" s="233"/>
      <c r="WFL18" s="233"/>
      <c r="WFM18" s="233"/>
      <c r="WFN18" s="233"/>
      <c r="WFO18" s="231"/>
      <c r="WFP18" s="231"/>
      <c r="WFQ18" s="229"/>
      <c r="WFR18" s="230"/>
      <c r="WFS18" s="231"/>
      <c r="WFT18" s="232"/>
      <c r="WFU18" s="233"/>
      <c r="WFV18" s="233"/>
      <c r="WFW18" s="233"/>
      <c r="WFX18" s="233"/>
      <c r="WFY18" s="233"/>
      <c r="WFZ18" s="233"/>
      <c r="WGA18" s="231"/>
      <c r="WGB18" s="231"/>
      <c r="WGC18" s="229"/>
      <c r="WGD18" s="230"/>
      <c r="WGE18" s="231"/>
      <c r="WGF18" s="232"/>
      <c r="WGG18" s="233"/>
      <c r="WGH18" s="233"/>
      <c r="WGI18" s="233"/>
      <c r="WGJ18" s="233"/>
      <c r="WGK18" s="233"/>
      <c r="WGL18" s="233"/>
      <c r="WGM18" s="231"/>
      <c r="WGN18" s="231"/>
      <c r="WGO18" s="229"/>
      <c r="WGP18" s="230"/>
      <c r="WGQ18" s="231"/>
      <c r="WGR18" s="232"/>
      <c r="WGS18" s="233"/>
      <c r="WGT18" s="233"/>
      <c r="WGU18" s="233"/>
      <c r="WGV18" s="233"/>
      <c r="WGW18" s="233"/>
      <c r="WGX18" s="233"/>
      <c r="WGY18" s="231"/>
      <c r="WGZ18" s="231"/>
      <c r="WHA18" s="229"/>
      <c r="WHB18" s="230"/>
      <c r="WHC18" s="231"/>
      <c r="WHD18" s="232"/>
      <c r="WHE18" s="233"/>
      <c r="WHF18" s="233"/>
      <c r="WHG18" s="233"/>
      <c r="WHH18" s="233"/>
      <c r="WHI18" s="233"/>
      <c r="WHJ18" s="233"/>
      <c r="WHK18" s="231"/>
      <c r="WHL18" s="231"/>
      <c r="WHM18" s="229"/>
      <c r="WHN18" s="230"/>
      <c r="WHO18" s="231"/>
      <c r="WHP18" s="232"/>
      <c r="WHQ18" s="233"/>
      <c r="WHR18" s="233"/>
      <c r="WHS18" s="233"/>
      <c r="WHT18" s="233"/>
      <c r="WHU18" s="233"/>
      <c r="WHV18" s="233"/>
      <c r="WHW18" s="231"/>
      <c r="WHX18" s="231"/>
      <c r="WHY18" s="229"/>
      <c r="WHZ18" s="230"/>
      <c r="WIA18" s="231"/>
      <c r="WIB18" s="232"/>
      <c r="WIC18" s="233"/>
      <c r="WID18" s="233"/>
      <c r="WIE18" s="233"/>
      <c r="WIF18" s="233"/>
      <c r="WIG18" s="233"/>
      <c r="WIH18" s="233"/>
      <c r="WII18" s="231"/>
      <c r="WIJ18" s="231"/>
      <c r="WIK18" s="229"/>
      <c r="WIL18" s="230"/>
      <c r="WIM18" s="231"/>
      <c r="WIN18" s="232"/>
      <c r="WIO18" s="233"/>
      <c r="WIP18" s="233"/>
      <c r="WIQ18" s="233"/>
      <c r="WIR18" s="233"/>
      <c r="WIS18" s="233"/>
      <c r="WIT18" s="233"/>
      <c r="WIU18" s="231"/>
      <c r="WIV18" s="231"/>
      <c r="WIW18" s="229"/>
      <c r="WIX18" s="230"/>
      <c r="WIY18" s="231"/>
      <c r="WIZ18" s="232"/>
      <c r="WJA18" s="233"/>
      <c r="WJB18" s="233"/>
      <c r="WJC18" s="233"/>
      <c r="WJD18" s="233"/>
      <c r="WJE18" s="233"/>
      <c r="WJF18" s="233"/>
      <c r="WJG18" s="231"/>
      <c r="WJH18" s="231"/>
      <c r="WJI18" s="229"/>
      <c r="WJJ18" s="230"/>
      <c r="WJK18" s="231"/>
      <c r="WJL18" s="232"/>
      <c r="WJM18" s="233"/>
      <c r="WJN18" s="233"/>
      <c r="WJO18" s="233"/>
      <c r="WJP18" s="233"/>
      <c r="WJQ18" s="233"/>
      <c r="WJR18" s="233"/>
      <c r="WJS18" s="231"/>
      <c r="WJT18" s="231"/>
      <c r="WJU18" s="229"/>
      <c r="WJV18" s="230"/>
      <c r="WJW18" s="231"/>
      <c r="WJX18" s="232"/>
      <c r="WJY18" s="233"/>
      <c r="WJZ18" s="233"/>
      <c r="WKA18" s="233"/>
      <c r="WKB18" s="233"/>
      <c r="WKC18" s="233"/>
      <c r="WKD18" s="233"/>
      <c r="WKE18" s="231"/>
      <c r="WKF18" s="231"/>
      <c r="WKG18" s="229"/>
      <c r="WKH18" s="230"/>
      <c r="WKI18" s="231"/>
      <c r="WKJ18" s="232"/>
      <c r="WKK18" s="233"/>
      <c r="WKL18" s="233"/>
      <c r="WKM18" s="233"/>
      <c r="WKN18" s="233"/>
      <c r="WKO18" s="233"/>
      <c r="WKP18" s="233"/>
      <c r="WKQ18" s="231"/>
      <c r="WKR18" s="231"/>
      <c r="WKS18" s="229"/>
      <c r="WKT18" s="230"/>
      <c r="WKU18" s="231"/>
      <c r="WKV18" s="232"/>
      <c r="WKW18" s="233"/>
      <c r="WKX18" s="233"/>
      <c r="WKY18" s="233"/>
      <c r="WKZ18" s="233"/>
      <c r="WLA18" s="233"/>
      <c r="WLB18" s="233"/>
      <c r="WLC18" s="231"/>
      <c r="WLD18" s="231"/>
      <c r="WLE18" s="229"/>
      <c r="WLF18" s="230"/>
      <c r="WLG18" s="231"/>
      <c r="WLH18" s="232"/>
      <c r="WLI18" s="233"/>
      <c r="WLJ18" s="233"/>
      <c r="WLK18" s="233"/>
      <c r="WLL18" s="233"/>
      <c r="WLM18" s="233"/>
      <c r="WLN18" s="233"/>
      <c r="WLO18" s="231"/>
      <c r="WLP18" s="231"/>
      <c r="WLQ18" s="229"/>
      <c r="WLR18" s="230"/>
      <c r="WLS18" s="231"/>
      <c r="WLT18" s="232"/>
      <c r="WLU18" s="233"/>
      <c r="WLV18" s="233"/>
      <c r="WLW18" s="233"/>
      <c r="WLX18" s="233"/>
      <c r="WLY18" s="233"/>
      <c r="WLZ18" s="233"/>
      <c r="WMA18" s="231"/>
      <c r="WMB18" s="231"/>
      <c r="WMC18" s="229"/>
      <c r="WMD18" s="230"/>
      <c r="WME18" s="231"/>
      <c r="WMF18" s="232"/>
      <c r="WMG18" s="233"/>
      <c r="WMH18" s="233"/>
      <c r="WMI18" s="233"/>
      <c r="WMJ18" s="233"/>
      <c r="WMK18" s="233"/>
      <c r="WML18" s="233"/>
      <c r="WMM18" s="231"/>
      <c r="WMN18" s="231"/>
      <c r="WMO18" s="229"/>
      <c r="WMP18" s="230"/>
      <c r="WMQ18" s="231"/>
      <c r="WMR18" s="232"/>
      <c r="WMS18" s="233"/>
      <c r="WMT18" s="233"/>
      <c r="WMU18" s="233"/>
      <c r="WMV18" s="233"/>
      <c r="WMW18" s="233"/>
      <c r="WMX18" s="233"/>
      <c r="WMY18" s="231"/>
      <c r="WMZ18" s="231"/>
      <c r="WNA18" s="229"/>
      <c r="WNB18" s="230"/>
      <c r="WNC18" s="231"/>
      <c r="WND18" s="232"/>
      <c r="WNE18" s="233"/>
      <c r="WNF18" s="233"/>
      <c r="WNG18" s="233"/>
      <c r="WNH18" s="233"/>
      <c r="WNI18" s="233"/>
      <c r="WNJ18" s="233"/>
      <c r="WNK18" s="231"/>
      <c r="WNL18" s="231"/>
      <c r="WNM18" s="229"/>
      <c r="WNN18" s="230"/>
      <c r="WNO18" s="231"/>
      <c r="WNP18" s="232"/>
      <c r="WNQ18" s="233"/>
      <c r="WNR18" s="233"/>
      <c r="WNS18" s="233"/>
      <c r="WNT18" s="233"/>
      <c r="WNU18" s="233"/>
      <c r="WNV18" s="233"/>
      <c r="WNW18" s="231"/>
      <c r="WNX18" s="231"/>
      <c r="WNY18" s="229"/>
      <c r="WNZ18" s="230"/>
      <c r="WOA18" s="231"/>
      <c r="WOB18" s="232"/>
      <c r="WOC18" s="233"/>
      <c r="WOD18" s="233"/>
      <c r="WOE18" s="233"/>
      <c r="WOF18" s="233"/>
      <c r="WOG18" s="233"/>
      <c r="WOH18" s="233"/>
      <c r="WOI18" s="231"/>
      <c r="WOJ18" s="231"/>
      <c r="WOK18" s="229"/>
      <c r="WOL18" s="230"/>
      <c r="WOM18" s="231"/>
      <c r="WON18" s="232"/>
      <c r="WOO18" s="233"/>
      <c r="WOP18" s="233"/>
      <c r="WOQ18" s="233"/>
      <c r="WOR18" s="233"/>
      <c r="WOS18" s="233"/>
      <c r="WOT18" s="233"/>
      <c r="WOU18" s="231"/>
      <c r="WOV18" s="231"/>
      <c r="WOW18" s="229"/>
      <c r="WOX18" s="230"/>
      <c r="WOY18" s="231"/>
      <c r="WOZ18" s="232"/>
      <c r="WPA18" s="233"/>
      <c r="WPB18" s="233"/>
      <c r="WPC18" s="233"/>
      <c r="WPD18" s="233"/>
      <c r="WPE18" s="233"/>
      <c r="WPF18" s="233"/>
      <c r="WPG18" s="231"/>
      <c r="WPH18" s="231"/>
      <c r="WPI18" s="229"/>
      <c r="WPJ18" s="230"/>
      <c r="WPK18" s="231"/>
      <c r="WPL18" s="232"/>
      <c r="WPM18" s="233"/>
      <c r="WPN18" s="233"/>
      <c r="WPO18" s="233"/>
      <c r="WPP18" s="233"/>
      <c r="WPQ18" s="233"/>
      <c r="WPR18" s="233"/>
      <c r="WPS18" s="231"/>
      <c r="WPT18" s="231"/>
      <c r="WPU18" s="229"/>
      <c r="WPV18" s="230"/>
      <c r="WPW18" s="231"/>
      <c r="WPX18" s="232"/>
      <c r="WPY18" s="233"/>
      <c r="WPZ18" s="233"/>
      <c r="WQA18" s="233"/>
      <c r="WQB18" s="233"/>
      <c r="WQC18" s="233"/>
      <c r="WQD18" s="233"/>
      <c r="WQE18" s="231"/>
      <c r="WQF18" s="231"/>
      <c r="WQG18" s="229"/>
      <c r="WQH18" s="230"/>
      <c r="WQI18" s="231"/>
      <c r="WQJ18" s="232"/>
      <c r="WQK18" s="233"/>
      <c r="WQL18" s="233"/>
      <c r="WQM18" s="233"/>
      <c r="WQN18" s="233"/>
      <c r="WQO18" s="233"/>
      <c r="WQP18" s="233"/>
      <c r="WQQ18" s="231"/>
      <c r="WQR18" s="231"/>
      <c r="WQS18" s="229"/>
      <c r="WQT18" s="230"/>
      <c r="WQU18" s="231"/>
      <c r="WQV18" s="232"/>
      <c r="WQW18" s="233"/>
      <c r="WQX18" s="233"/>
      <c r="WQY18" s="233"/>
      <c r="WQZ18" s="233"/>
      <c r="WRA18" s="233"/>
      <c r="WRB18" s="233"/>
      <c r="WRC18" s="231"/>
      <c r="WRD18" s="231"/>
      <c r="WRE18" s="229"/>
      <c r="WRF18" s="230"/>
      <c r="WRG18" s="231"/>
      <c r="WRH18" s="232"/>
      <c r="WRI18" s="233"/>
      <c r="WRJ18" s="233"/>
      <c r="WRK18" s="233"/>
      <c r="WRL18" s="233"/>
      <c r="WRM18" s="233"/>
      <c r="WRN18" s="233"/>
      <c r="WRO18" s="231"/>
      <c r="WRP18" s="231"/>
      <c r="WRQ18" s="229"/>
      <c r="WRR18" s="230"/>
      <c r="WRS18" s="231"/>
      <c r="WRT18" s="232"/>
      <c r="WRU18" s="233"/>
      <c r="WRV18" s="233"/>
      <c r="WRW18" s="233"/>
      <c r="WRX18" s="233"/>
      <c r="WRY18" s="233"/>
      <c r="WRZ18" s="233"/>
      <c r="WSA18" s="231"/>
      <c r="WSB18" s="231"/>
      <c r="WSC18" s="229"/>
      <c r="WSD18" s="230"/>
      <c r="WSE18" s="231"/>
      <c r="WSF18" s="232"/>
      <c r="WSG18" s="233"/>
      <c r="WSH18" s="233"/>
      <c r="WSI18" s="233"/>
      <c r="WSJ18" s="233"/>
      <c r="WSK18" s="233"/>
      <c r="WSL18" s="233"/>
      <c r="WSM18" s="231"/>
      <c r="WSN18" s="231"/>
      <c r="WSO18" s="229"/>
      <c r="WSP18" s="230"/>
      <c r="WSQ18" s="231"/>
      <c r="WSR18" s="232"/>
      <c r="WSS18" s="233"/>
      <c r="WST18" s="233"/>
      <c r="WSU18" s="233"/>
      <c r="WSV18" s="233"/>
      <c r="WSW18" s="233"/>
      <c r="WSX18" s="233"/>
      <c r="WSY18" s="231"/>
      <c r="WSZ18" s="231"/>
      <c r="WTA18" s="229"/>
      <c r="WTB18" s="230"/>
      <c r="WTC18" s="231"/>
      <c r="WTD18" s="232"/>
      <c r="WTE18" s="233"/>
      <c r="WTF18" s="233"/>
      <c r="WTG18" s="233"/>
      <c r="WTH18" s="233"/>
      <c r="WTI18" s="233"/>
      <c r="WTJ18" s="233"/>
      <c r="WTK18" s="231"/>
      <c r="WTL18" s="231"/>
      <c r="WTM18" s="229"/>
      <c r="WTN18" s="230"/>
      <c r="WTO18" s="231"/>
      <c r="WTP18" s="232"/>
      <c r="WTQ18" s="233"/>
      <c r="WTR18" s="233"/>
      <c r="WTS18" s="233"/>
      <c r="WTT18" s="233"/>
      <c r="WTU18" s="233"/>
      <c r="WTV18" s="233"/>
      <c r="WTW18" s="231"/>
      <c r="WTX18" s="231"/>
      <c r="WTY18" s="229"/>
      <c r="WTZ18" s="230"/>
      <c r="WUA18" s="231"/>
      <c r="WUB18" s="232"/>
      <c r="WUC18" s="233"/>
      <c r="WUD18" s="233"/>
      <c r="WUE18" s="233"/>
      <c r="WUF18" s="233"/>
      <c r="WUG18" s="233"/>
      <c r="WUH18" s="233"/>
      <c r="WUI18" s="231"/>
      <c r="WUJ18" s="231"/>
      <c r="WUK18" s="229"/>
      <c r="WUL18" s="230"/>
      <c r="WUM18" s="231"/>
      <c r="WUN18" s="232"/>
      <c r="WUO18" s="233"/>
      <c r="WUP18" s="233"/>
      <c r="WUQ18" s="233"/>
      <c r="WUR18" s="233"/>
      <c r="WUS18" s="233"/>
      <c r="WUT18" s="233"/>
      <c r="WUU18" s="231"/>
      <c r="WUV18" s="231"/>
      <c r="WUW18" s="229"/>
      <c r="WUX18" s="230"/>
      <c r="WUY18" s="231"/>
      <c r="WUZ18" s="232"/>
      <c r="WVA18" s="233"/>
      <c r="WVB18" s="233"/>
      <c r="WVC18" s="233"/>
      <c r="WVD18" s="233"/>
      <c r="WVE18" s="233"/>
      <c r="WVF18" s="233"/>
      <c r="WVG18" s="231"/>
      <c r="WVH18" s="231"/>
      <c r="WVI18" s="229"/>
      <c r="WVJ18" s="230"/>
      <c r="WVK18" s="231"/>
      <c r="WVL18" s="232"/>
      <c r="WVM18" s="233"/>
      <c r="WVN18" s="233"/>
      <c r="WVO18" s="233"/>
      <c r="WVP18" s="233"/>
      <c r="WVQ18" s="233"/>
      <c r="WVR18" s="233"/>
      <c r="WVS18" s="231"/>
      <c r="WVT18" s="231"/>
      <c r="WVU18" s="229"/>
      <c r="WVV18" s="230"/>
      <c r="WVW18" s="231"/>
      <c r="WVX18" s="232"/>
      <c r="WVY18" s="233"/>
      <c r="WVZ18" s="233"/>
      <c r="WWA18" s="233"/>
      <c r="WWB18" s="233"/>
      <c r="WWC18" s="233"/>
      <c r="WWD18" s="233"/>
      <c r="WWE18" s="231"/>
      <c r="WWF18" s="231"/>
      <c r="WWG18" s="229"/>
      <c r="WWH18" s="230"/>
      <c r="WWI18" s="231"/>
      <c r="WWJ18" s="232"/>
      <c r="WWK18" s="233"/>
      <c r="WWL18" s="233"/>
      <c r="WWM18" s="233"/>
      <c r="WWN18" s="233"/>
      <c r="WWO18" s="233"/>
      <c r="WWP18" s="233"/>
      <c r="WWQ18" s="231"/>
      <c r="WWR18" s="231"/>
      <c r="WWS18" s="229"/>
      <c r="WWT18" s="230"/>
      <c r="WWU18" s="231"/>
      <c r="WWV18" s="232"/>
      <c r="WWW18" s="233"/>
      <c r="WWX18" s="233"/>
      <c r="WWY18" s="233"/>
      <c r="WWZ18" s="233"/>
      <c r="WXA18" s="233"/>
      <c r="WXB18" s="233"/>
      <c r="WXC18" s="231"/>
      <c r="WXD18" s="231"/>
      <c r="WXE18" s="229"/>
      <c r="WXF18" s="230"/>
      <c r="WXG18" s="231"/>
      <c r="WXH18" s="232"/>
      <c r="WXI18" s="233"/>
      <c r="WXJ18" s="233"/>
      <c r="WXK18" s="233"/>
      <c r="WXL18" s="233"/>
      <c r="WXM18" s="233"/>
      <c r="WXN18" s="233"/>
      <c r="WXO18" s="231"/>
      <c r="WXP18" s="231"/>
      <c r="WXQ18" s="229"/>
      <c r="WXR18" s="230"/>
      <c r="WXS18" s="231"/>
      <c r="WXT18" s="232"/>
      <c r="WXU18" s="233"/>
      <c r="WXV18" s="233"/>
      <c r="WXW18" s="233"/>
      <c r="WXX18" s="233"/>
      <c r="WXY18" s="233"/>
      <c r="WXZ18" s="233"/>
      <c r="WYA18" s="231"/>
      <c r="WYB18" s="231"/>
      <c r="WYC18" s="229"/>
      <c r="WYD18" s="230"/>
      <c r="WYE18" s="231"/>
      <c r="WYF18" s="232"/>
      <c r="WYG18" s="233"/>
      <c r="WYH18" s="233"/>
      <c r="WYI18" s="233"/>
      <c r="WYJ18" s="233"/>
      <c r="WYK18" s="233"/>
      <c r="WYL18" s="233"/>
      <c r="WYM18" s="231"/>
      <c r="WYN18" s="231"/>
      <c r="WYO18" s="229"/>
      <c r="WYP18" s="230"/>
      <c r="WYQ18" s="231"/>
      <c r="WYR18" s="232"/>
      <c r="WYS18" s="233"/>
      <c r="WYT18" s="233"/>
      <c r="WYU18" s="233"/>
      <c r="WYV18" s="233"/>
      <c r="WYW18" s="233"/>
      <c r="WYX18" s="233"/>
      <c r="WYY18" s="231"/>
      <c r="WYZ18" s="231"/>
      <c r="WZA18" s="229"/>
      <c r="WZB18" s="230"/>
      <c r="WZC18" s="231"/>
      <c r="WZD18" s="232"/>
      <c r="WZE18" s="233"/>
      <c r="WZF18" s="233"/>
      <c r="WZG18" s="233"/>
      <c r="WZH18" s="233"/>
      <c r="WZI18" s="233"/>
      <c r="WZJ18" s="233"/>
      <c r="WZK18" s="231"/>
      <c r="WZL18" s="231"/>
      <c r="WZM18" s="229"/>
      <c r="WZN18" s="230"/>
      <c r="WZO18" s="231"/>
      <c r="WZP18" s="232"/>
      <c r="WZQ18" s="233"/>
      <c r="WZR18" s="233"/>
      <c r="WZS18" s="233"/>
      <c r="WZT18" s="233"/>
      <c r="WZU18" s="233"/>
      <c r="WZV18" s="233"/>
      <c r="WZW18" s="231"/>
      <c r="WZX18" s="231"/>
      <c r="WZY18" s="229"/>
      <c r="WZZ18" s="230"/>
      <c r="XAA18" s="231"/>
      <c r="XAB18" s="232"/>
      <c r="XAC18" s="233"/>
      <c r="XAD18" s="233"/>
      <c r="XAE18" s="233"/>
      <c r="XAF18" s="233"/>
      <c r="XAG18" s="233"/>
      <c r="XAH18" s="233"/>
      <c r="XAI18" s="231"/>
      <c r="XAJ18" s="231"/>
      <c r="XAK18" s="229"/>
      <c r="XAL18" s="230"/>
      <c r="XAM18" s="231"/>
      <c r="XAN18" s="232"/>
      <c r="XAO18" s="233"/>
      <c r="XAP18" s="233"/>
      <c r="XAQ18" s="233"/>
      <c r="XAR18" s="233"/>
      <c r="XAS18" s="233"/>
      <c r="XAT18" s="233"/>
      <c r="XAU18" s="231"/>
      <c r="XAV18" s="231"/>
      <c r="XAW18" s="229"/>
      <c r="XAX18" s="230"/>
      <c r="XAY18" s="231"/>
      <c r="XAZ18" s="232"/>
      <c r="XBA18" s="233"/>
      <c r="XBB18" s="233"/>
      <c r="XBC18" s="233"/>
      <c r="XBD18" s="233"/>
      <c r="XBE18" s="233"/>
      <c r="XBF18" s="233"/>
      <c r="XBG18" s="231"/>
      <c r="XBH18" s="231"/>
      <c r="XBI18" s="229"/>
      <c r="XBJ18" s="230"/>
      <c r="XBK18" s="231"/>
      <c r="XBL18" s="232"/>
      <c r="XBM18" s="233"/>
      <c r="XBN18" s="233"/>
      <c r="XBO18" s="233"/>
      <c r="XBP18" s="233"/>
      <c r="XBQ18" s="233"/>
      <c r="XBR18" s="233"/>
      <c r="XBS18" s="231"/>
      <c r="XBT18" s="231"/>
      <c r="XBU18" s="229"/>
      <c r="XBV18" s="230"/>
      <c r="XBW18" s="231"/>
      <c r="XBX18" s="232"/>
      <c r="XBY18" s="233"/>
      <c r="XBZ18" s="233"/>
      <c r="XCA18" s="233"/>
      <c r="XCB18" s="233"/>
      <c r="XCC18" s="233"/>
      <c r="XCD18" s="233"/>
      <c r="XCE18" s="231"/>
      <c r="XCF18" s="231"/>
      <c r="XCG18" s="229"/>
      <c r="XCH18" s="230"/>
      <c r="XCI18" s="231"/>
      <c r="XCJ18" s="232"/>
      <c r="XCK18" s="233"/>
      <c r="XCL18" s="233"/>
      <c r="XCM18" s="233"/>
      <c r="XCN18" s="233"/>
      <c r="XCO18" s="233"/>
      <c r="XCP18" s="233"/>
      <c r="XCQ18" s="231"/>
      <c r="XCR18" s="231"/>
      <c r="XCS18" s="229"/>
      <c r="XCT18" s="230"/>
      <c r="XCU18" s="231"/>
      <c r="XCV18" s="232"/>
      <c r="XCW18" s="233"/>
      <c r="XCX18" s="233"/>
      <c r="XCY18" s="233"/>
      <c r="XCZ18" s="233"/>
      <c r="XDA18" s="233"/>
      <c r="XDB18" s="233"/>
      <c r="XDC18" s="231"/>
      <c r="XDD18" s="231"/>
      <c r="XDE18" s="229"/>
      <c r="XDF18" s="230"/>
      <c r="XDG18" s="231"/>
      <c r="XDH18" s="232"/>
      <c r="XDI18" s="233"/>
      <c r="XDJ18" s="233"/>
      <c r="XDK18" s="233"/>
      <c r="XDL18" s="233"/>
      <c r="XDM18" s="233"/>
      <c r="XDN18" s="233"/>
      <c r="XDO18" s="231"/>
      <c r="XDP18" s="231"/>
      <c r="XDQ18" s="229"/>
      <c r="XDR18" s="230"/>
      <c r="XDS18" s="231"/>
      <c r="XDT18" s="232"/>
      <c r="XDU18" s="233"/>
      <c r="XDV18" s="233"/>
      <c r="XDW18" s="233"/>
      <c r="XDX18" s="233"/>
      <c r="XDY18" s="233"/>
      <c r="XDZ18" s="233"/>
      <c r="XEA18" s="231"/>
      <c r="XEB18" s="231"/>
      <c r="XEC18" s="229"/>
      <c r="XED18" s="230"/>
      <c r="XEE18" s="231"/>
      <c r="XEF18" s="232"/>
      <c r="XEG18" s="233"/>
      <c r="XEH18" s="233"/>
      <c r="XEI18" s="233"/>
      <c r="XEJ18" s="233"/>
      <c r="XEK18" s="233"/>
      <c r="XEL18" s="233"/>
      <c r="XEM18" s="231"/>
      <c r="XEN18" s="231"/>
      <c r="XEO18" s="229"/>
      <c r="XEP18" s="230"/>
      <c r="XEQ18" s="231"/>
      <c r="XER18" s="232"/>
      <c r="XES18" s="233"/>
      <c r="XET18" s="233"/>
      <c r="XEU18" s="233"/>
      <c r="XEV18" s="233"/>
      <c r="XEW18" s="233"/>
      <c r="XEX18" s="233"/>
      <c r="XEY18" s="231"/>
      <c r="XEZ18" s="231"/>
      <c r="XFA18" s="229"/>
      <c r="XFB18" s="230"/>
      <c r="XFC18" s="231"/>
      <c r="XFD18" s="232"/>
    </row>
    <row r="19" spans="1:16384" s="381" customFormat="1" ht="7.45" customHeight="1">
      <c r="A19" s="19"/>
      <c r="B19" s="19"/>
      <c r="C19" s="19"/>
      <c r="D19" s="111"/>
      <c r="E19" s="19"/>
      <c r="F19" s="19"/>
      <c r="G19" s="19"/>
      <c r="H19" s="19"/>
      <c r="I19" s="19"/>
      <c r="J19" s="19"/>
      <c r="K19" s="518"/>
      <c r="L19" s="236"/>
      <c r="N19" s="252"/>
      <c r="O19" s="252"/>
      <c r="P19" s="252"/>
      <c r="Q19" s="252"/>
      <c r="R19" s="252"/>
      <c r="S19" s="252"/>
      <c r="T19" s="252"/>
      <c r="U19" s="252"/>
      <c r="V19" s="252"/>
    </row>
    <row r="20" spans="1:16384" s="381" customFormat="1" ht="38.6">
      <c r="A20" s="113" t="s">
        <v>198</v>
      </c>
      <c r="B20" s="1" t="s">
        <v>175</v>
      </c>
      <c r="C20" s="2" t="s">
        <v>176</v>
      </c>
      <c r="D20" s="108" t="s">
        <v>177</v>
      </c>
      <c r="E20" s="107" t="s">
        <v>0</v>
      </c>
      <c r="F20" s="1" t="s">
        <v>1</v>
      </c>
      <c r="G20" s="1" t="s">
        <v>2</v>
      </c>
      <c r="H20" s="1" t="s">
        <v>3</v>
      </c>
      <c r="I20" s="1" t="s">
        <v>4</v>
      </c>
      <c r="J20" s="1" t="s">
        <v>34</v>
      </c>
      <c r="K20" s="1" t="s">
        <v>5</v>
      </c>
      <c r="L20" s="237"/>
      <c r="N20" s="252"/>
      <c r="O20" s="252"/>
      <c r="P20" s="252"/>
      <c r="Q20" s="252"/>
      <c r="R20" s="252"/>
      <c r="S20" s="252"/>
      <c r="T20" s="252"/>
      <c r="U20" s="252"/>
      <c r="V20" s="252"/>
    </row>
    <row r="21" spans="1:16384" s="381" customFormat="1">
      <c r="A21" s="142" t="s">
        <v>199</v>
      </c>
      <c r="B21" s="123" t="s">
        <v>182</v>
      </c>
      <c r="C21" s="124">
        <f>+'Collaborative Imp'!E46</f>
        <v>28</v>
      </c>
      <c r="D21" s="109">
        <f>+K21</f>
        <v>29.092500000000001</v>
      </c>
      <c r="E21" s="124">
        <f>'Collaborative Imp'!G37*'Prep%Fuelspercentage.direct'!$C$39</f>
        <v>0</v>
      </c>
      <c r="F21" s="124">
        <f>'Collaborative Imp'!H37*'Prep%Fuelspercentage.direct'!$C$39</f>
        <v>0</v>
      </c>
      <c r="G21" s="124">
        <f>'Collaborative Imp'!I37*'Prep%Fuelspercentage.direct'!$C$39</f>
        <v>0</v>
      </c>
      <c r="H21" s="124">
        <f>'Collaborative Imp'!J37*'Prep%Fuelspercentage.direct'!$C$39</f>
        <v>0</v>
      </c>
      <c r="I21" s="124">
        <f>'Collaborative Imp'!K37*'Prep%Fuelspercentage.direct'!$C$39</f>
        <v>0</v>
      </c>
      <c r="J21" s="124">
        <f>+'Collaborative Imp'!F41</f>
        <v>29.092500000000001</v>
      </c>
      <c r="K21" s="138">
        <f t="shared" ref="K21:K25" si="5">SUM(E21:J21)</f>
        <v>29.092500000000001</v>
      </c>
      <c r="L21" s="233">
        <f>(K21*-$M$2)+K21</f>
        <v>29.092500000000001</v>
      </c>
      <c r="M21" s="228"/>
      <c r="N21" s="252"/>
      <c r="O21" s="252"/>
      <c r="P21" s="252"/>
      <c r="Q21" s="252"/>
      <c r="R21" s="252"/>
      <c r="S21" s="252"/>
      <c r="T21" s="252"/>
      <c r="U21" s="252"/>
      <c r="V21" s="252"/>
    </row>
    <row r="22" spans="1:16384" s="381" customFormat="1">
      <c r="A22" s="142" t="s">
        <v>200</v>
      </c>
      <c r="B22" s="123" t="s">
        <v>182</v>
      </c>
      <c r="C22" s="124">
        <f>'DOI Fuels Agrmnts'!E36</f>
        <v>465</v>
      </c>
      <c r="D22" s="109">
        <f>'DOI Fuels Agrmnts'!F36</f>
        <v>645</v>
      </c>
      <c r="E22" s="124">
        <f>'DOI Fuels Agrmnts'!G36</f>
        <v>0</v>
      </c>
      <c r="F22" s="124">
        <f>'DOI Fuels Agrmnts'!H36</f>
        <v>0</v>
      </c>
      <c r="G22" s="124">
        <f>'DOI Fuels Agrmnts'!I36</f>
        <v>0</v>
      </c>
      <c r="H22" s="124">
        <f>'DOI Fuels Agrmnts'!J36</f>
        <v>0</v>
      </c>
      <c r="I22" s="124">
        <f>'DOI Fuels Agrmnts'!K36</f>
        <v>0</v>
      </c>
      <c r="J22" s="124">
        <f>'DOI Fuels Agrmnts'!L36</f>
        <v>645</v>
      </c>
      <c r="K22" s="138">
        <f t="shared" si="5"/>
        <v>645</v>
      </c>
      <c r="L22" s="233">
        <f>(K22*-$M$2)+K22</f>
        <v>645</v>
      </c>
      <c r="N22" s="252"/>
      <c r="O22" s="252"/>
      <c r="P22" s="252"/>
      <c r="Q22" s="252"/>
      <c r="R22" s="252"/>
      <c r="S22" s="252"/>
      <c r="T22" s="252"/>
      <c r="U22" s="252"/>
      <c r="V22" s="252"/>
    </row>
    <row r="23" spans="1:16384" s="381" customFormat="1">
      <c r="A23" s="573" t="s">
        <v>201</v>
      </c>
      <c r="B23" s="123" t="s">
        <v>182</v>
      </c>
      <c r="C23" s="124">
        <f>+'LLC Support'!I46</f>
        <v>173</v>
      </c>
      <c r="D23" s="109">
        <f>+K23</f>
        <v>223</v>
      </c>
      <c r="E23" s="124">
        <f>'LLC Support'!G41*'Prep%Fuelspercentage.direct'!$B39</f>
        <v>0</v>
      </c>
      <c r="F23" s="124">
        <f>'LLC Support'!H41*'Prep%Fuelspercentage.direct'!$B39</f>
        <v>0</v>
      </c>
      <c r="G23" s="124">
        <f>'LLC Support'!I41*'Prep%Fuelspercentage.direct'!$B39</f>
        <v>0</v>
      </c>
      <c r="H23" s="124">
        <f>+'LLC Support'!K46</f>
        <v>223</v>
      </c>
      <c r="I23" s="124">
        <f>'LLC Support'!K41*'Prep%Fuelspercentage.direct'!$B39</f>
        <v>0</v>
      </c>
      <c r="J23" s="124">
        <v>0</v>
      </c>
      <c r="K23" s="138">
        <f t="shared" si="5"/>
        <v>223</v>
      </c>
      <c r="L23" s="233">
        <f>(K23*-$M$2)+K23</f>
        <v>223</v>
      </c>
      <c r="N23" s="252"/>
      <c r="O23" s="252"/>
      <c r="P23" s="252"/>
      <c r="Q23" s="252"/>
      <c r="R23" s="252"/>
      <c r="S23" s="252"/>
      <c r="T23" s="252"/>
      <c r="U23" s="252"/>
      <c r="V23" s="252"/>
    </row>
    <row r="24" spans="1:16384" s="381" customFormat="1">
      <c r="A24" s="142" t="s">
        <v>202</v>
      </c>
      <c r="B24" s="123" t="s">
        <v>182</v>
      </c>
      <c r="C24" s="124">
        <f>SageSTEP!E40</f>
        <v>150</v>
      </c>
      <c r="D24" s="109">
        <f>SageSTEP!F40</f>
        <v>200</v>
      </c>
      <c r="E24" s="124">
        <f>SageSTEP!G40</f>
        <v>0</v>
      </c>
      <c r="F24" s="124">
        <f>SageSTEP!H40</f>
        <v>200</v>
      </c>
      <c r="G24" s="124">
        <f>SageSTEP!I40</f>
        <v>0</v>
      </c>
      <c r="H24" s="124">
        <f>SageSTEP!J40</f>
        <v>0</v>
      </c>
      <c r="I24" s="124">
        <f>SageSTEP!K40</f>
        <v>0</v>
      </c>
      <c r="J24" s="124">
        <v>0</v>
      </c>
      <c r="K24" s="138">
        <f t="shared" si="5"/>
        <v>200</v>
      </c>
      <c r="L24" s="233">
        <f>(K24*-$M$2)+K24</f>
        <v>200</v>
      </c>
      <c r="N24" s="252"/>
      <c r="O24" s="252"/>
      <c r="P24" s="252"/>
      <c r="Q24" s="252"/>
      <c r="R24" s="252"/>
      <c r="S24" s="252"/>
      <c r="T24" s="252"/>
      <c r="U24" s="252"/>
      <c r="V24" s="252"/>
    </row>
    <row r="25" spans="1:16384" s="381" customFormat="1">
      <c r="A25" s="142" t="s">
        <v>203</v>
      </c>
      <c r="B25" s="123" t="s">
        <v>190</v>
      </c>
      <c r="C25" s="124">
        <f>+'IT (WFIT) Project Summary'!C35</f>
        <v>4713</v>
      </c>
      <c r="D25" s="109">
        <f>+'IT (WFIT) Project Summary'!D35</f>
        <v>7141.6607999999997</v>
      </c>
      <c r="E25" s="124">
        <f>+'IT (WFIT) Project Summary'!E35</f>
        <v>0</v>
      </c>
      <c r="F25" s="124">
        <f>+'IT (WFIT) Project Summary'!F35</f>
        <v>1264.5849499999999</v>
      </c>
      <c r="G25" s="124">
        <f>+'IT (WFIT) Project Summary'!G35</f>
        <v>0</v>
      </c>
      <c r="H25" s="124">
        <f>+'IT (WFIT) Project Summary'!H35</f>
        <v>326</v>
      </c>
      <c r="I25" s="124">
        <f>+'IT (WFIT) Project Summary'!I35</f>
        <v>5460.9801499999994</v>
      </c>
      <c r="J25" s="124">
        <f>+'IT (WFIT) Project Summary'!J35</f>
        <v>90.095700000000079</v>
      </c>
      <c r="K25" s="138">
        <f t="shared" si="5"/>
        <v>7141.6607999999997</v>
      </c>
      <c r="L25" s="233">
        <f>(K25*-$M$2)+K25</f>
        <v>7141.6607999999997</v>
      </c>
      <c r="N25" s="252"/>
      <c r="O25" s="252"/>
      <c r="P25" s="252"/>
      <c r="Q25" s="252"/>
      <c r="R25" s="252"/>
      <c r="S25" s="252"/>
      <c r="T25" s="252"/>
      <c r="U25" s="252"/>
      <c r="V25" s="252"/>
    </row>
    <row r="26" spans="1:16384" s="381" customFormat="1">
      <c r="A26" s="113" t="s">
        <v>204</v>
      </c>
      <c r="B26" s="123"/>
      <c r="C26" s="124"/>
      <c r="D26" s="109"/>
      <c r="E26" s="124"/>
      <c r="F26" s="124"/>
      <c r="G26" s="124"/>
      <c r="H26" s="124"/>
      <c r="I26" s="124"/>
      <c r="J26" s="124"/>
      <c r="K26" s="138"/>
      <c r="L26" s="233"/>
      <c r="N26" s="252"/>
      <c r="O26" s="252"/>
      <c r="P26" s="252"/>
      <c r="Q26" s="252"/>
      <c r="R26" s="252"/>
      <c r="S26" s="252"/>
      <c r="T26" s="252"/>
      <c r="U26" s="252"/>
      <c r="V26" s="252"/>
    </row>
    <row r="27" spans="1:16384" s="381" customFormat="1">
      <c r="A27" s="573" t="s">
        <v>205</v>
      </c>
      <c r="B27" s="381" t="s">
        <v>180</v>
      </c>
      <c r="C27" s="124">
        <v>10000</v>
      </c>
      <c r="D27" s="109">
        <f>+E27</f>
        <v>11000</v>
      </c>
      <c r="E27" s="124">
        <f>15000-5000+1000</f>
        <v>11000</v>
      </c>
      <c r="F27" s="124">
        <v>0</v>
      </c>
      <c r="G27" s="124">
        <v>0</v>
      </c>
      <c r="H27" s="124">
        <v>0</v>
      </c>
      <c r="I27" s="124">
        <v>0</v>
      </c>
      <c r="J27" s="124">
        <v>0</v>
      </c>
      <c r="K27" s="138">
        <f t="shared" ref="K27" si="6">SUM(E27:J27)</f>
        <v>11000</v>
      </c>
      <c r="L27" s="233">
        <f>(K27*-$M$2)+K27</f>
        <v>11000</v>
      </c>
      <c r="N27" s="252"/>
      <c r="O27" s="252"/>
      <c r="P27" s="252"/>
      <c r="Q27" s="252"/>
      <c r="R27" s="252"/>
      <c r="S27" s="252"/>
      <c r="T27" s="252"/>
      <c r="U27" s="252"/>
      <c r="V27" s="252"/>
    </row>
    <row r="28" spans="1:16384" s="381" customFormat="1">
      <c r="A28" s="573" t="s">
        <v>192</v>
      </c>
      <c r="B28" s="381" t="s">
        <v>182</v>
      </c>
      <c r="C28" s="124"/>
      <c r="D28" s="109">
        <f>+E28</f>
        <v>0</v>
      </c>
      <c r="E28" s="124">
        <f>5000-5000</f>
        <v>0</v>
      </c>
      <c r="F28" s="124">
        <v>0</v>
      </c>
      <c r="G28" s="124"/>
      <c r="H28" s="124"/>
      <c r="I28" s="124"/>
      <c r="J28" s="124"/>
      <c r="K28" s="138">
        <f t="shared" ref="K28" si="7">SUM(E28:J28)</f>
        <v>0</v>
      </c>
      <c r="L28" s="233">
        <f t="shared" ref="L28" si="8">(K28*-$M$2)+K28</f>
        <v>0</v>
      </c>
      <c r="N28" s="252"/>
      <c r="O28" s="252"/>
      <c r="P28" s="252"/>
      <c r="Q28" s="252"/>
      <c r="R28" s="252"/>
      <c r="S28" s="252"/>
      <c r="T28" s="252"/>
      <c r="U28" s="252"/>
      <c r="V28" s="252"/>
    </row>
    <row r="29" spans="1:16384" s="381" customFormat="1">
      <c r="A29" s="140" t="s">
        <v>206</v>
      </c>
      <c r="B29" s="119"/>
      <c r="C29" s="125">
        <f t="shared" ref="C29:L29" si="9">SUM(C21:C28)</f>
        <v>15529</v>
      </c>
      <c r="D29" s="141">
        <f t="shared" si="9"/>
        <v>19238.7533</v>
      </c>
      <c r="E29" s="125">
        <f t="shared" si="9"/>
        <v>11000</v>
      </c>
      <c r="F29" s="125">
        <f t="shared" si="9"/>
        <v>1464.5849499999999</v>
      </c>
      <c r="G29" s="125">
        <f t="shared" si="9"/>
        <v>0</v>
      </c>
      <c r="H29" s="125">
        <f t="shared" si="9"/>
        <v>549</v>
      </c>
      <c r="I29" s="125">
        <f t="shared" si="9"/>
        <v>5460.9801499999994</v>
      </c>
      <c r="J29" s="125">
        <f t="shared" si="9"/>
        <v>764.18820000000005</v>
      </c>
      <c r="K29" s="137">
        <f t="shared" si="9"/>
        <v>19238.7533</v>
      </c>
      <c r="L29" s="235">
        <f t="shared" si="9"/>
        <v>19238.7533</v>
      </c>
      <c r="N29" s="252"/>
      <c r="O29" s="252"/>
      <c r="P29" s="252"/>
      <c r="Q29" s="252"/>
      <c r="R29" s="252"/>
      <c r="S29" s="252"/>
      <c r="T29" s="252"/>
      <c r="U29" s="252"/>
      <c r="V29" s="252"/>
    </row>
    <row r="30" spans="1:16384" s="381" customFormat="1">
      <c r="A30" s="229" t="s">
        <v>197</v>
      </c>
      <c r="B30" s="230"/>
      <c r="C30" s="231"/>
      <c r="D30" s="232"/>
      <c r="E30" s="231">
        <f t="shared" ref="E30:J30" si="10">(E29*-$M$2)+E29</f>
        <v>11000</v>
      </c>
      <c r="F30" s="231">
        <f t="shared" si="10"/>
        <v>1464.5849499999999</v>
      </c>
      <c r="G30" s="231">
        <f t="shared" si="10"/>
        <v>0</v>
      </c>
      <c r="H30" s="231">
        <f t="shared" si="10"/>
        <v>549</v>
      </c>
      <c r="I30" s="231">
        <f>(I29*-$M$2)+I29</f>
        <v>5460.9801499999994</v>
      </c>
      <c r="J30" s="231">
        <f t="shared" si="10"/>
        <v>764.18820000000005</v>
      </c>
      <c r="K30" s="517">
        <f>SUM(E30:J30)</f>
        <v>19238.7533</v>
      </c>
      <c r="L30" s="231"/>
      <c r="N30" s="252"/>
      <c r="O30" s="252"/>
      <c r="P30" s="252"/>
      <c r="Q30" s="252"/>
      <c r="R30" s="252"/>
      <c r="S30" s="252"/>
      <c r="T30" s="252"/>
      <c r="U30" s="252"/>
      <c r="V30" s="252"/>
    </row>
    <row r="31" spans="1:16384" s="381" customFormat="1" ht="7.45" customHeight="1">
      <c r="A31" s="19"/>
      <c r="B31" s="19"/>
      <c r="C31" s="19"/>
      <c r="D31" s="111"/>
      <c r="E31" s="19"/>
      <c r="F31" s="19"/>
      <c r="G31" s="19"/>
      <c r="H31" s="19"/>
      <c r="I31" s="19"/>
      <c r="J31" s="19"/>
      <c r="K31" s="518"/>
      <c r="L31" s="236"/>
      <c r="N31" s="252"/>
      <c r="O31" s="252"/>
      <c r="P31" s="252"/>
      <c r="Q31" s="252"/>
      <c r="R31" s="252"/>
      <c r="S31" s="252"/>
      <c r="T31" s="252"/>
      <c r="U31" s="252"/>
      <c r="V31" s="252"/>
    </row>
    <row r="32" spans="1:16384" s="381" customFormat="1" ht="38.6">
      <c r="A32" s="131" t="s">
        <v>207</v>
      </c>
      <c r="B32" s="1" t="s">
        <v>175</v>
      </c>
      <c r="C32" s="2" t="s">
        <v>176</v>
      </c>
      <c r="D32" s="108" t="s">
        <v>177</v>
      </c>
      <c r="E32" s="107" t="s">
        <v>0</v>
      </c>
      <c r="F32" s="1" t="s">
        <v>1</v>
      </c>
      <c r="G32" s="1" t="s">
        <v>2</v>
      </c>
      <c r="H32" s="1" t="s">
        <v>3</v>
      </c>
      <c r="I32" s="1" t="s">
        <v>4</v>
      </c>
      <c r="J32" s="1" t="s">
        <v>34</v>
      </c>
      <c r="K32" s="1" t="s">
        <v>5</v>
      </c>
      <c r="L32" s="237"/>
      <c r="N32" s="252"/>
      <c r="O32" s="252"/>
      <c r="P32" s="252"/>
      <c r="Q32" s="252"/>
      <c r="R32" s="252"/>
      <c r="S32" s="252"/>
      <c r="T32" s="252"/>
      <c r="U32" s="252"/>
      <c r="V32" s="252"/>
    </row>
    <row r="33" spans="1:16384" s="381" customFormat="1">
      <c r="A33" s="142" t="s">
        <v>208</v>
      </c>
      <c r="B33" s="123" t="s">
        <v>182</v>
      </c>
      <c r="C33" s="124">
        <f>'BAR Program'!E40</f>
        <v>967</v>
      </c>
      <c r="D33" s="109">
        <f>'BAR Program'!F40</f>
        <v>1111</v>
      </c>
      <c r="E33" s="124">
        <f>'BAR Program'!G40</f>
        <v>240</v>
      </c>
      <c r="F33" s="124">
        <f>'BAR Program'!H40</f>
        <v>249</v>
      </c>
      <c r="G33" s="124">
        <f>'BAR Program'!I40</f>
        <v>227</v>
      </c>
      <c r="H33" s="124">
        <f>'BAR Program'!J40</f>
        <v>392</v>
      </c>
      <c r="I33" s="124">
        <f>'BAR Program'!K40</f>
        <v>3</v>
      </c>
      <c r="J33" s="124">
        <f>'BAR Program'!L40</f>
        <v>0</v>
      </c>
      <c r="K33" s="138">
        <f>SUM(E33:J33)</f>
        <v>1111</v>
      </c>
      <c r="L33" s="233">
        <f>(K33*-$M$2)+K33</f>
        <v>1111</v>
      </c>
      <c r="N33" s="252"/>
      <c r="O33" s="252"/>
      <c r="P33" s="252"/>
      <c r="Q33" s="252"/>
      <c r="R33" s="252"/>
      <c r="S33" s="252"/>
      <c r="T33" s="252"/>
      <c r="U33" s="252"/>
      <c r="V33" s="252"/>
    </row>
    <row r="34" spans="1:16384" s="381" customFormat="1">
      <c r="A34" s="140" t="s">
        <v>209</v>
      </c>
      <c r="B34" s="119"/>
      <c r="C34" s="125">
        <f t="shared" ref="C34:J34" si="11">SUM(C33:C33)</f>
        <v>967</v>
      </c>
      <c r="D34" s="141">
        <f t="shared" si="11"/>
        <v>1111</v>
      </c>
      <c r="E34" s="125">
        <f t="shared" si="11"/>
        <v>240</v>
      </c>
      <c r="F34" s="125">
        <f t="shared" si="11"/>
        <v>249</v>
      </c>
      <c r="G34" s="125">
        <f t="shared" si="11"/>
        <v>227</v>
      </c>
      <c r="H34" s="125">
        <f t="shared" si="11"/>
        <v>392</v>
      </c>
      <c r="I34" s="125">
        <f t="shared" si="11"/>
        <v>3</v>
      </c>
      <c r="J34" s="125">
        <f t="shared" si="11"/>
        <v>0</v>
      </c>
      <c r="K34" s="137">
        <f>SUM(E34:J34)</f>
        <v>1111</v>
      </c>
      <c r="L34" s="235">
        <f>(K34*-$M$2)+K34</f>
        <v>1111</v>
      </c>
      <c r="N34" s="252"/>
      <c r="O34" s="252"/>
      <c r="P34" s="252"/>
      <c r="Q34" s="252"/>
      <c r="R34" s="252"/>
      <c r="S34" s="252"/>
      <c r="T34" s="252"/>
      <c r="U34" s="252"/>
      <c r="V34" s="252"/>
    </row>
    <row r="35" spans="1:16384" s="151" customFormat="1">
      <c r="A35" s="229" t="s">
        <v>197</v>
      </c>
      <c r="B35" s="230"/>
      <c r="C35" s="231"/>
      <c r="D35" s="232"/>
      <c r="E35" s="231">
        <f t="shared" ref="E35:J35" si="12">(E34*-$M$2)+E34</f>
        <v>240</v>
      </c>
      <c r="F35" s="231">
        <f t="shared" si="12"/>
        <v>249</v>
      </c>
      <c r="G35" s="231">
        <f t="shared" si="12"/>
        <v>227</v>
      </c>
      <c r="H35" s="231">
        <f t="shared" si="12"/>
        <v>392</v>
      </c>
      <c r="I35" s="231">
        <f t="shared" si="12"/>
        <v>3</v>
      </c>
      <c r="J35" s="231">
        <f t="shared" si="12"/>
        <v>0</v>
      </c>
      <c r="K35" s="517">
        <f>SUM(E35:J35)</f>
        <v>1111</v>
      </c>
      <c r="L35" s="231"/>
      <c r="M35" s="399"/>
      <c r="N35" s="252"/>
      <c r="O35" s="252"/>
      <c r="P35" s="252"/>
      <c r="Q35" s="252"/>
      <c r="R35" s="252"/>
      <c r="S35" s="252"/>
      <c r="T35" s="252"/>
      <c r="U35" s="252"/>
      <c r="V35" s="252"/>
      <c r="W35" s="401"/>
      <c r="X35" s="401"/>
      <c r="Y35" s="399"/>
      <c r="Z35" s="182"/>
      <c r="AA35" s="401"/>
      <c r="AB35" s="401"/>
      <c r="AC35" s="401"/>
      <c r="AD35" s="401"/>
      <c r="AE35" s="401"/>
      <c r="AF35" s="401"/>
      <c r="AG35" s="401"/>
      <c r="AH35" s="401"/>
      <c r="AI35" s="401"/>
      <c r="AJ35" s="231"/>
      <c r="AK35" s="229"/>
      <c r="AL35" s="230"/>
      <c r="AM35" s="231"/>
      <c r="AN35" s="232"/>
      <c r="AO35" s="233"/>
      <c r="AP35" s="233"/>
      <c r="AQ35" s="233"/>
      <c r="AR35" s="233"/>
      <c r="AS35" s="233"/>
      <c r="AT35" s="233"/>
      <c r="AU35" s="231"/>
      <c r="AV35" s="231"/>
      <c r="AW35" s="229"/>
      <c r="AX35" s="230"/>
      <c r="AY35" s="231"/>
      <c r="AZ35" s="232"/>
      <c r="BA35" s="233"/>
      <c r="BB35" s="233"/>
      <c r="BC35" s="233"/>
      <c r="BD35" s="233"/>
      <c r="BE35" s="233"/>
      <c r="BF35" s="233"/>
      <c r="BG35" s="231"/>
      <c r="BH35" s="231"/>
      <c r="BI35" s="229"/>
      <c r="BJ35" s="230"/>
      <c r="BK35" s="231"/>
      <c r="BL35" s="232"/>
      <c r="BM35" s="233"/>
      <c r="BN35" s="233"/>
      <c r="BO35" s="233"/>
      <c r="BP35" s="233"/>
      <c r="BQ35" s="233"/>
      <c r="BR35" s="233"/>
      <c r="BS35" s="231"/>
      <c r="BT35" s="231"/>
      <c r="BU35" s="229"/>
      <c r="BV35" s="230"/>
      <c r="BW35" s="231"/>
      <c r="BX35" s="232"/>
      <c r="BY35" s="233"/>
      <c r="BZ35" s="233"/>
      <c r="CA35" s="233"/>
      <c r="CB35" s="233"/>
      <c r="CC35" s="233"/>
      <c r="CD35" s="233"/>
      <c r="CE35" s="231"/>
      <c r="CF35" s="231"/>
      <c r="CG35" s="229"/>
      <c r="CH35" s="230"/>
      <c r="CI35" s="231"/>
      <c r="CJ35" s="232"/>
      <c r="CK35" s="233"/>
      <c r="CL35" s="233"/>
      <c r="CM35" s="233"/>
      <c r="CN35" s="233"/>
      <c r="CO35" s="233"/>
      <c r="CP35" s="233"/>
      <c r="CQ35" s="231"/>
      <c r="CR35" s="231"/>
      <c r="CS35" s="229"/>
      <c r="CT35" s="230"/>
      <c r="CU35" s="231"/>
      <c r="CV35" s="232"/>
      <c r="CW35" s="233"/>
      <c r="CX35" s="233"/>
      <c r="CY35" s="233"/>
      <c r="CZ35" s="233"/>
      <c r="DA35" s="233"/>
      <c r="DB35" s="233"/>
      <c r="DC35" s="231"/>
      <c r="DD35" s="231"/>
      <c r="DE35" s="229"/>
      <c r="DF35" s="230"/>
      <c r="DG35" s="231"/>
      <c r="DH35" s="232"/>
      <c r="DI35" s="233"/>
      <c r="DJ35" s="233"/>
      <c r="DK35" s="233"/>
      <c r="DL35" s="233"/>
      <c r="DM35" s="233"/>
      <c r="DN35" s="233"/>
      <c r="DO35" s="231"/>
      <c r="DP35" s="231"/>
      <c r="DQ35" s="229"/>
      <c r="DR35" s="230"/>
      <c r="DS35" s="231"/>
      <c r="DT35" s="232"/>
      <c r="DU35" s="233"/>
      <c r="DV35" s="233"/>
      <c r="DW35" s="233"/>
      <c r="DX35" s="233"/>
      <c r="DY35" s="233"/>
      <c r="DZ35" s="233"/>
      <c r="EA35" s="231"/>
      <c r="EB35" s="231"/>
      <c r="EC35" s="229"/>
      <c r="ED35" s="230"/>
      <c r="EE35" s="231"/>
      <c r="EF35" s="232"/>
      <c r="EG35" s="233"/>
      <c r="EH35" s="233"/>
      <c r="EI35" s="233"/>
      <c r="EJ35" s="233"/>
      <c r="EK35" s="233"/>
      <c r="EL35" s="233"/>
      <c r="EM35" s="231"/>
      <c r="EN35" s="231"/>
      <c r="EO35" s="229"/>
      <c r="EP35" s="230"/>
      <c r="EQ35" s="231"/>
      <c r="ER35" s="232"/>
      <c r="ES35" s="233"/>
      <c r="ET35" s="233"/>
      <c r="EU35" s="233"/>
      <c r="EV35" s="233"/>
      <c r="EW35" s="233"/>
      <c r="EX35" s="233"/>
      <c r="EY35" s="231"/>
      <c r="EZ35" s="231"/>
      <c r="FA35" s="229"/>
      <c r="FB35" s="230"/>
      <c r="FC35" s="231"/>
      <c r="FD35" s="232"/>
      <c r="FE35" s="233"/>
      <c r="FF35" s="233"/>
      <c r="FG35" s="233"/>
      <c r="FH35" s="233"/>
      <c r="FI35" s="233"/>
      <c r="FJ35" s="233"/>
      <c r="FK35" s="231"/>
      <c r="FL35" s="231"/>
      <c r="FM35" s="229"/>
      <c r="FN35" s="230"/>
      <c r="FO35" s="231"/>
      <c r="FP35" s="232"/>
      <c r="FQ35" s="233"/>
      <c r="FR35" s="233"/>
      <c r="FS35" s="233"/>
      <c r="FT35" s="233"/>
      <c r="FU35" s="233"/>
      <c r="FV35" s="233"/>
      <c r="FW35" s="231"/>
      <c r="FX35" s="231"/>
      <c r="FY35" s="229"/>
      <c r="FZ35" s="230"/>
      <c r="GA35" s="231"/>
      <c r="GB35" s="232"/>
      <c r="GC35" s="233"/>
      <c r="GD35" s="233"/>
      <c r="GE35" s="233"/>
      <c r="GF35" s="233"/>
      <c r="GG35" s="233"/>
      <c r="GH35" s="233"/>
      <c r="GI35" s="231"/>
      <c r="GJ35" s="231"/>
      <c r="GK35" s="229"/>
      <c r="GL35" s="230"/>
      <c r="GM35" s="231"/>
      <c r="GN35" s="232"/>
      <c r="GO35" s="233"/>
      <c r="GP35" s="233"/>
      <c r="GQ35" s="233"/>
      <c r="GR35" s="233"/>
      <c r="GS35" s="233"/>
      <c r="GT35" s="233"/>
      <c r="GU35" s="231"/>
      <c r="GV35" s="231"/>
      <c r="GW35" s="229"/>
      <c r="GX35" s="230"/>
      <c r="GY35" s="231"/>
      <c r="GZ35" s="232"/>
      <c r="HA35" s="233"/>
      <c r="HB35" s="233"/>
      <c r="HC35" s="233"/>
      <c r="HD35" s="233"/>
      <c r="HE35" s="233"/>
      <c r="HF35" s="233"/>
      <c r="HG35" s="231"/>
      <c r="HH35" s="231"/>
      <c r="HI35" s="229"/>
      <c r="HJ35" s="230"/>
      <c r="HK35" s="231"/>
      <c r="HL35" s="232"/>
      <c r="HM35" s="233"/>
      <c r="HN35" s="233"/>
      <c r="HO35" s="233"/>
      <c r="HP35" s="233"/>
      <c r="HQ35" s="233"/>
      <c r="HR35" s="233"/>
      <c r="HS35" s="231"/>
      <c r="HT35" s="231"/>
      <c r="HU35" s="229"/>
      <c r="HV35" s="230"/>
      <c r="HW35" s="231"/>
      <c r="HX35" s="232"/>
      <c r="HY35" s="233"/>
      <c r="HZ35" s="233"/>
      <c r="IA35" s="233"/>
      <c r="IB35" s="233"/>
      <c r="IC35" s="233"/>
      <c r="ID35" s="233"/>
      <c r="IE35" s="231"/>
      <c r="IF35" s="231"/>
      <c r="IG35" s="229"/>
      <c r="IH35" s="230"/>
      <c r="II35" s="231"/>
      <c r="IJ35" s="232"/>
      <c r="IK35" s="233"/>
      <c r="IL35" s="233"/>
      <c r="IM35" s="233"/>
      <c r="IN35" s="233"/>
      <c r="IO35" s="233"/>
      <c r="IP35" s="233"/>
      <c r="IQ35" s="231"/>
      <c r="IR35" s="231"/>
      <c r="IS35" s="229"/>
      <c r="IT35" s="230"/>
      <c r="IU35" s="231"/>
      <c r="IV35" s="232"/>
      <c r="IW35" s="233"/>
      <c r="IX35" s="233"/>
      <c r="IY35" s="233"/>
      <c r="IZ35" s="233"/>
      <c r="JA35" s="233"/>
      <c r="JB35" s="233"/>
      <c r="JC35" s="231"/>
      <c r="JD35" s="231"/>
      <c r="JE35" s="229"/>
      <c r="JF35" s="230"/>
      <c r="JG35" s="231"/>
      <c r="JH35" s="232"/>
      <c r="JI35" s="233"/>
      <c r="JJ35" s="233"/>
      <c r="JK35" s="233"/>
      <c r="JL35" s="233"/>
      <c r="JM35" s="233"/>
      <c r="JN35" s="233"/>
      <c r="JO35" s="231"/>
      <c r="JP35" s="231"/>
      <c r="JQ35" s="229"/>
      <c r="JR35" s="230"/>
      <c r="JS35" s="231"/>
      <c r="JT35" s="232"/>
      <c r="JU35" s="233"/>
      <c r="JV35" s="233"/>
      <c r="JW35" s="233"/>
      <c r="JX35" s="233"/>
      <c r="JY35" s="233"/>
      <c r="JZ35" s="233"/>
      <c r="KA35" s="231"/>
      <c r="KB35" s="231"/>
      <c r="KC35" s="229"/>
      <c r="KD35" s="230"/>
      <c r="KE35" s="231"/>
      <c r="KF35" s="232"/>
      <c r="KG35" s="233"/>
      <c r="KH35" s="233"/>
      <c r="KI35" s="233"/>
      <c r="KJ35" s="233"/>
      <c r="KK35" s="233"/>
      <c r="KL35" s="233"/>
      <c r="KM35" s="231"/>
      <c r="KN35" s="231"/>
      <c r="KO35" s="229"/>
      <c r="KP35" s="230"/>
      <c r="KQ35" s="231"/>
      <c r="KR35" s="232"/>
      <c r="KS35" s="233"/>
      <c r="KT35" s="233"/>
      <c r="KU35" s="233"/>
      <c r="KV35" s="233"/>
      <c r="KW35" s="233"/>
      <c r="KX35" s="233"/>
      <c r="KY35" s="231"/>
      <c r="KZ35" s="231"/>
      <c r="LA35" s="229"/>
      <c r="LB35" s="230"/>
      <c r="LC35" s="231"/>
      <c r="LD35" s="232"/>
      <c r="LE35" s="233"/>
      <c r="LF35" s="233"/>
      <c r="LG35" s="233"/>
      <c r="LH35" s="233"/>
      <c r="LI35" s="233"/>
      <c r="LJ35" s="233"/>
      <c r="LK35" s="231"/>
      <c r="LL35" s="231"/>
      <c r="LM35" s="229"/>
      <c r="LN35" s="230"/>
      <c r="LO35" s="231"/>
      <c r="LP35" s="232"/>
      <c r="LQ35" s="233"/>
      <c r="LR35" s="233"/>
      <c r="LS35" s="233"/>
      <c r="LT35" s="233"/>
      <c r="LU35" s="233"/>
      <c r="LV35" s="233"/>
      <c r="LW35" s="231"/>
      <c r="LX35" s="231"/>
      <c r="LY35" s="229"/>
      <c r="LZ35" s="230"/>
      <c r="MA35" s="231"/>
      <c r="MB35" s="232"/>
      <c r="MC35" s="233"/>
      <c r="MD35" s="233"/>
      <c r="ME35" s="233"/>
      <c r="MF35" s="233"/>
      <c r="MG35" s="233"/>
      <c r="MH35" s="233"/>
      <c r="MI35" s="231"/>
      <c r="MJ35" s="231"/>
      <c r="MK35" s="229"/>
      <c r="ML35" s="230"/>
      <c r="MM35" s="231"/>
      <c r="MN35" s="232"/>
      <c r="MO35" s="233"/>
      <c r="MP35" s="233"/>
      <c r="MQ35" s="233"/>
      <c r="MR35" s="233"/>
      <c r="MS35" s="233"/>
      <c r="MT35" s="233"/>
      <c r="MU35" s="231"/>
      <c r="MV35" s="231"/>
      <c r="MW35" s="229"/>
      <c r="MX35" s="230"/>
      <c r="MY35" s="231"/>
      <c r="MZ35" s="232"/>
      <c r="NA35" s="233"/>
      <c r="NB35" s="233"/>
      <c r="NC35" s="233"/>
      <c r="ND35" s="233"/>
      <c r="NE35" s="233"/>
      <c r="NF35" s="233"/>
      <c r="NG35" s="231"/>
      <c r="NH35" s="231"/>
      <c r="NI35" s="229"/>
      <c r="NJ35" s="230"/>
      <c r="NK35" s="231"/>
      <c r="NL35" s="232"/>
      <c r="NM35" s="233"/>
      <c r="NN35" s="233"/>
      <c r="NO35" s="233"/>
      <c r="NP35" s="233"/>
      <c r="NQ35" s="233"/>
      <c r="NR35" s="233"/>
      <c r="NS35" s="231"/>
      <c r="NT35" s="231"/>
      <c r="NU35" s="229"/>
      <c r="NV35" s="230"/>
      <c r="NW35" s="231"/>
      <c r="NX35" s="232"/>
      <c r="NY35" s="233"/>
      <c r="NZ35" s="233"/>
      <c r="OA35" s="233"/>
      <c r="OB35" s="233"/>
      <c r="OC35" s="233"/>
      <c r="OD35" s="233"/>
      <c r="OE35" s="231"/>
      <c r="OF35" s="231"/>
      <c r="OG35" s="229"/>
      <c r="OH35" s="230"/>
      <c r="OI35" s="231"/>
      <c r="OJ35" s="232"/>
      <c r="OK35" s="233"/>
      <c r="OL35" s="233"/>
      <c r="OM35" s="233"/>
      <c r="ON35" s="233"/>
      <c r="OO35" s="233"/>
      <c r="OP35" s="233"/>
      <c r="OQ35" s="231"/>
      <c r="OR35" s="231"/>
      <c r="OS35" s="229"/>
      <c r="OT35" s="230"/>
      <c r="OU35" s="231"/>
      <c r="OV35" s="232"/>
      <c r="OW35" s="233"/>
      <c r="OX35" s="233"/>
      <c r="OY35" s="233"/>
      <c r="OZ35" s="233"/>
      <c r="PA35" s="233"/>
      <c r="PB35" s="233"/>
      <c r="PC35" s="231"/>
      <c r="PD35" s="231"/>
      <c r="PE35" s="229"/>
      <c r="PF35" s="230"/>
      <c r="PG35" s="231"/>
      <c r="PH35" s="232"/>
      <c r="PI35" s="233"/>
      <c r="PJ35" s="233"/>
      <c r="PK35" s="233"/>
      <c r="PL35" s="233"/>
      <c r="PM35" s="233"/>
      <c r="PN35" s="233"/>
      <c r="PO35" s="231"/>
      <c r="PP35" s="231"/>
      <c r="PQ35" s="229"/>
      <c r="PR35" s="230"/>
      <c r="PS35" s="231"/>
      <c r="PT35" s="232"/>
      <c r="PU35" s="233"/>
      <c r="PV35" s="233"/>
      <c r="PW35" s="233"/>
      <c r="PX35" s="233"/>
      <c r="PY35" s="233"/>
      <c r="PZ35" s="233"/>
      <c r="QA35" s="231"/>
      <c r="QB35" s="231"/>
      <c r="QC35" s="229"/>
      <c r="QD35" s="230"/>
      <c r="QE35" s="231"/>
      <c r="QF35" s="232"/>
      <c r="QG35" s="233"/>
      <c r="QH35" s="233"/>
      <c r="QI35" s="233"/>
      <c r="QJ35" s="233"/>
      <c r="QK35" s="233"/>
      <c r="QL35" s="233"/>
      <c r="QM35" s="231"/>
      <c r="QN35" s="231"/>
      <c r="QO35" s="229"/>
      <c r="QP35" s="230"/>
      <c r="QQ35" s="231"/>
      <c r="QR35" s="232"/>
      <c r="QS35" s="233"/>
      <c r="QT35" s="233"/>
      <c r="QU35" s="233"/>
      <c r="QV35" s="233"/>
      <c r="QW35" s="233"/>
      <c r="QX35" s="233"/>
      <c r="QY35" s="231"/>
      <c r="QZ35" s="231"/>
      <c r="RA35" s="229"/>
      <c r="RB35" s="230"/>
      <c r="RC35" s="231"/>
      <c r="RD35" s="232"/>
      <c r="RE35" s="233"/>
      <c r="RF35" s="233"/>
      <c r="RG35" s="233"/>
      <c r="RH35" s="233"/>
      <c r="RI35" s="233"/>
      <c r="RJ35" s="233"/>
      <c r="RK35" s="231"/>
      <c r="RL35" s="231"/>
      <c r="RM35" s="229"/>
      <c r="RN35" s="230"/>
      <c r="RO35" s="231"/>
      <c r="RP35" s="232"/>
      <c r="RQ35" s="233"/>
      <c r="RR35" s="233"/>
      <c r="RS35" s="233"/>
      <c r="RT35" s="233"/>
      <c r="RU35" s="233"/>
      <c r="RV35" s="233"/>
      <c r="RW35" s="231"/>
      <c r="RX35" s="231"/>
      <c r="RY35" s="229"/>
      <c r="RZ35" s="230"/>
      <c r="SA35" s="231"/>
      <c r="SB35" s="232"/>
      <c r="SC35" s="233"/>
      <c r="SD35" s="233"/>
      <c r="SE35" s="233"/>
      <c r="SF35" s="233"/>
      <c r="SG35" s="233"/>
      <c r="SH35" s="233"/>
      <c r="SI35" s="231"/>
      <c r="SJ35" s="231"/>
      <c r="SK35" s="229"/>
      <c r="SL35" s="230"/>
      <c r="SM35" s="231"/>
      <c r="SN35" s="232"/>
      <c r="SO35" s="233"/>
      <c r="SP35" s="233"/>
      <c r="SQ35" s="233"/>
      <c r="SR35" s="233"/>
      <c r="SS35" s="233"/>
      <c r="ST35" s="233"/>
      <c r="SU35" s="231"/>
      <c r="SV35" s="231"/>
      <c r="SW35" s="229"/>
      <c r="SX35" s="230"/>
      <c r="SY35" s="231"/>
      <c r="SZ35" s="232"/>
      <c r="TA35" s="233"/>
      <c r="TB35" s="233"/>
      <c r="TC35" s="233"/>
      <c r="TD35" s="233"/>
      <c r="TE35" s="233"/>
      <c r="TF35" s="233"/>
      <c r="TG35" s="231"/>
      <c r="TH35" s="231"/>
      <c r="TI35" s="229"/>
      <c r="TJ35" s="230"/>
      <c r="TK35" s="231"/>
      <c r="TL35" s="232"/>
      <c r="TM35" s="233"/>
      <c r="TN35" s="233"/>
      <c r="TO35" s="233"/>
      <c r="TP35" s="233"/>
      <c r="TQ35" s="233"/>
      <c r="TR35" s="233"/>
      <c r="TS35" s="231"/>
      <c r="TT35" s="231"/>
      <c r="TU35" s="229"/>
      <c r="TV35" s="230"/>
      <c r="TW35" s="231"/>
      <c r="TX35" s="232"/>
      <c r="TY35" s="233"/>
      <c r="TZ35" s="233"/>
      <c r="UA35" s="233"/>
      <c r="UB35" s="233"/>
      <c r="UC35" s="233"/>
      <c r="UD35" s="233"/>
      <c r="UE35" s="231"/>
      <c r="UF35" s="231"/>
      <c r="UG35" s="229"/>
      <c r="UH35" s="230"/>
      <c r="UI35" s="231"/>
      <c r="UJ35" s="232"/>
      <c r="UK35" s="233"/>
      <c r="UL35" s="233"/>
      <c r="UM35" s="233"/>
      <c r="UN35" s="233"/>
      <c r="UO35" s="233"/>
      <c r="UP35" s="233"/>
      <c r="UQ35" s="231"/>
      <c r="UR35" s="231"/>
      <c r="US35" s="229"/>
      <c r="UT35" s="230"/>
      <c r="UU35" s="231"/>
      <c r="UV35" s="232"/>
      <c r="UW35" s="233"/>
      <c r="UX35" s="233"/>
      <c r="UY35" s="233"/>
      <c r="UZ35" s="233"/>
      <c r="VA35" s="233"/>
      <c r="VB35" s="233"/>
      <c r="VC35" s="231"/>
      <c r="VD35" s="231"/>
      <c r="VE35" s="229"/>
      <c r="VF35" s="230"/>
      <c r="VG35" s="231"/>
      <c r="VH35" s="232"/>
      <c r="VI35" s="233"/>
      <c r="VJ35" s="233"/>
      <c r="VK35" s="233"/>
      <c r="VL35" s="233"/>
      <c r="VM35" s="233"/>
      <c r="VN35" s="233"/>
      <c r="VO35" s="231"/>
      <c r="VP35" s="231"/>
      <c r="VQ35" s="229"/>
      <c r="VR35" s="230"/>
      <c r="VS35" s="231"/>
      <c r="VT35" s="232"/>
      <c r="VU35" s="233"/>
      <c r="VV35" s="233"/>
      <c r="VW35" s="233"/>
      <c r="VX35" s="233"/>
      <c r="VY35" s="233"/>
      <c r="VZ35" s="233"/>
      <c r="WA35" s="231"/>
      <c r="WB35" s="231"/>
      <c r="WC35" s="229"/>
      <c r="WD35" s="230"/>
      <c r="WE35" s="231"/>
      <c r="WF35" s="232"/>
      <c r="WG35" s="233"/>
      <c r="WH35" s="233"/>
      <c r="WI35" s="233"/>
      <c r="WJ35" s="233"/>
      <c r="WK35" s="233"/>
      <c r="WL35" s="233"/>
      <c r="WM35" s="231"/>
      <c r="WN35" s="231"/>
      <c r="WO35" s="229"/>
      <c r="WP35" s="230"/>
      <c r="WQ35" s="231"/>
      <c r="WR35" s="232"/>
      <c r="WS35" s="233"/>
      <c r="WT35" s="233"/>
      <c r="WU35" s="233"/>
      <c r="WV35" s="233"/>
      <c r="WW35" s="233"/>
      <c r="WX35" s="233"/>
      <c r="WY35" s="231"/>
      <c r="WZ35" s="231"/>
      <c r="XA35" s="229"/>
      <c r="XB35" s="230"/>
      <c r="XC35" s="231"/>
      <c r="XD35" s="232"/>
      <c r="XE35" s="233"/>
      <c r="XF35" s="233"/>
      <c r="XG35" s="233"/>
      <c r="XH35" s="233"/>
      <c r="XI35" s="233"/>
      <c r="XJ35" s="233"/>
      <c r="XK35" s="231"/>
      <c r="XL35" s="231"/>
      <c r="XM35" s="229"/>
      <c r="XN35" s="230"/>
      <c r="XO35" s="231"/>
      <c r="XP35" s="232"/>
      <c r="XQ35" s="233"/>
      <c r="XR35" s="233"/>
      <c r="XS35" s="233"/>
      <c r="XT35" s="233"/>
      <c r="XU35" s="233"/>
      <c r="XV35" s="233"/>
      <c r="XW35" s="231"/>
      <c r="XX35" s="231"/>
      <c r="XY35" s="229"/>
      <c r="XZ35" s="230"/>
      <c r="YA35" s="231"/>
      <c r="YB35" s="232"/>
      <c r="YC35" s="233"/>
      <c r="YD35" s="233"/>
      <c r="YE35" s="233"/>
      <c r="YF35" s="233"/>
      <c r="YG35" s="233"/>
      <c r="YH35" s="233"/>
      <c r="YI35" s="231"/>
      <c r="YJ35" s="231"/>
      <c r="YK35" s="229"/>
      <c r="YL35" s="230"/>
      <c r="YM35" s="231"/>
      <c r="YN35" s="232"/>
      <c r="YO35" s="233"/>
      <c r="YP35" s="233"/>
      <c r="YQ35" s="233"/>
      <c r="YR35" s="233"/>
      <c r="YS35" s="233"/>
      <c r="YT35" s="233"/>
      <c r="YU35" s="231"/>
      <c r="YV35" s="231"/>
      <c r="YW35" s="229"/>
      <c r="YX35" s="230"/>
      <c r="YY35" s="231"/>
      <c r="YZ35" s="232"/>
      <c r="ZA35" s="233"/>
      <c r="ZB35" s="233"/>
      <c r="ZC35" s="233"/>
      <c r="ZD35" s="233"/>
      <c r="ZE35" s="233"/>
      <c r="ZF35" s="233"/>
      <c r="ZG35" s="231"/>
      <c r="ZH35" s="231"/>
      <c r="ZI35" s="229"/>
      <c r="ZJ35" s="230"/>
      <c r="ZK35" s="231"/>
      <c r="ZL35" s="232"/>
      <c r="ZM35" s="233"/>
      <c r="ZN35" s="233"/>
      <c r="ZO35" s="233"/>
      <c r="ZP35" s="233"/>
      <c r="ZQ35" s="233"/>
      <c r="ZR35" s="233"/>
      <c r="ZS35" s="231"/>
      <c r="ZT35" s="231"/>
      <c r="ZU35" s="229"/>
      <c r="ZV35" s="230"/>
      <c r="ZW35" s="231"/>
      <c r="ZX35" s="232"/>
      <c r="ZY35" s="233"/>
      <c r="ZZ35" s="233"/>
      <c r="AAA35" s="233"/>
      <c r="AAB35" s="233"/>
      <c r="AAC35" s="233"/>
      <c r="AAD35" s="233"/>
      <c r="AAE35" s="231"/>
      <c r="AAF35" s="231"/>
      <c r="AAG35" s="229"/>
      <c r="AAH35" s="230"/>
      <c r="AAI35" s="231"/>
      <c r="AAJ35" s="232"/>
      <c r="AAK35" s="233"/>
      <c r="AAL35" s="233"/>
      <c r="AAM35" s="233"/>
      <c r="AAN35" s="233"/>
      <c r="AAO35" s="233"/>
      <c r="AAP35" s="233"/>
      <c r="AAQ35" s="231"/>
      <c r="AAR35" s="231"/>
      <c r="AAS35" s="229"/>
      <c r="AAT35" s="230"/>
      <c r="AAU35" s="231"/>
      <c r="AAV35" s="232"/>
      <c r="AAW35" s="233"/>
      <c r="AAX35" s="233"/>
      <c r="AAY35" s="233"/>
      <c r="AAZ35" s="233"/>
      <c r="ABA35" s="233"/>
      <c r="ABB35" s="233"/>
      <c r="ABC35" s="231"/>
      <c r="ABD35" s="231"/>
      <c r="ABE35" s="229"/>
      <c r="ABF35" s="230"/>
      <c r="ABG35" s="231"/>
      <c r="ABH35" s="232"/>
      <c r="ABI35" s="233"/>
      <c r="ABJ35" s="233"/>
      <c r="ABK35" s="233"/>
      <c r="ABL35" s="233"/>
      <c r="ABM35" s="233"/>
      <c r="ABN35" s="233"/>
      <c r="ABO35" s="231"/>
      <c r="ABP35" s="231"/>
      <c r="ABQ35" s="229"/>
      <c r="ABR35" s="230"/>
      <c r="ABS35" s="231"/>
      <c r="ABT35" s="232"/>
      <c r="ABU35" s="233"/>
      <c r="ABV35" s="233"/>
      <c r="ABW35" s="233"/>
      <c r="ABX35" s="233"/>
      <c r="ABY35" s="233"/>
      <c r="ABZ35" s="233"/>
      <c r="ACA35" s="231"/>
      <c r="ACB35" s="231"/>
      <c r="ACC35" s="229"/>
      <c r="ACD35" s="230"/>
      <c r="ACE35" s="231"/>
      <c r="ACF35" s="232"/>
      <c r="ACG35" s="233"/>
      <c r="ACH35" s="233"/>
      <c r="ACI35" s="233"/>
      <c r="ACJ35" s="233"/>
      <c r="ACK35" s="233"/>
      <c r="ACL35" s="233"/>
      <c r="ACM35" s="231"/>
      <c r="ACN35" s="231"/>
      <c r="ACO35" s="229"/>
      <c r="ACP35" s="230"/>
      <c r="ACQ35" s="231"/>
      <c r="ACR35" s="232"/>
      <c r="ACS35" s="233"/>
      <c r="ACT35" s="233"/>
      <c r="ACU35" s="233"/>
      <c r="ACV35" s="233"/>
      <c r="ACW35" s="233"/>
      <c r="ACX35" s="233"/>
      <c r="ACY35" s="231"/>
      <c r="ACZ35" s="231"/>
      <c r="ADA35" s="229"/>
      <c r="ADB35" s="230"/>
      <c r="ADC35" s="231"/>
      <c r="ADD35" s="232"/>
      <c r="ADE35" s="233"/>
      <c r="ADF35" s="233"/>
      <c r="ADG35" s="233"/>
      <c r="ADH35" s="233"/>
      <c r="ADI35" s="233"/>
      <c r="ADJ35" s="233"/>
      <c r="ADK35" s="231"/>
      <c r="ADL35" s="231"/>
      <c r="ADM35" s="229"/>
      <c r="ADN35" s="230"/>
      <c r="ADO35" s="231"/>
      <c r="ADP35" s="232"/>
      <c r="ADQ35" s="233"/>
      <c r="ADR35" s="233"/>
      <c r="ADS35" s="233"/>
      <c r="ADT35" s="233"/>
      <c r="ADU35" s="233"/>
      <c r="ADV35" s="233"/>
      <c r="ADW35" s="231"/>
      <c r="ADX35" s="231"/>
      <c r="ADY35" s="229"/>
      <c r="ADZ35" s="230"/>
      <c r="AEA35" s="231"/>
      <c r="AEB35" s="232"/>
      <c r="AEC35" s="233"/>
      <c r="AED35" s="233"/>
      <c r="AEE35" s="233"/>
      <c r="AEF35" s="233"/>
      <c r="AEG35" s="233"/>
      <c r="AEH35" s="233"/>
      <c r="AEI35" s="231"/>
      <c r="AEJ35" s="231"/>
      <c r="AEK35" s="229"/>
      <c r="AEL35" s="230"/>
      <c r="AEM35" s="231"/>
      <c r="AEN35" s="232"/>
      <c r="AEO35" s="233"/>
      <c r="AEP35" s="233"/>
      <c r="AEQ35" s="233"/>
      <c r="AER35" s="233"/>
      <c r="AES35" s="233"/>
      <c r="AET35" s="233"/>
      <c r="AEU35" s="231"/>
      <c r="AEV35" s="231"/>
      <c r="AEW35" s="229"/>
      <c r="AEX35" s="230"/>
      <c r="AEY35" s="231"/>
      <c r="AEZ35" s="232"/>
      <c r="AFA35" s="233"/>
      <c r="AFB35" s="233"/>
      <c r="AFC35" s="233"/>
      <c r="AFD35" s="233"/>
      <c r="AFE35" s="233"/>
      <c r="AFF35" s="233"/>
      <c r="AFG35" s="231"/>
      <c r="AFH35" s="231"/>
      <c r="AFI35" s="229"/>
      <c r="AFJ35" s="230"/>
      <c r="AFK35" s="231"/>
      <c r="AFL35" s="232"/>
      <c r="AFM35" s="233"/>
      <c r="AFN35" s="233"/>
      <c r="AFO35" s="233"/>
      <c r="AFP35" s="233"/>
      <c r="AFQ35" s="233"/>
      <c r="AFR35" s="233"/>
      <c r="AFS35" s="231"/>
      <c r="AFT35" s="231"/>
      <c r="AFU35" s="229"/>
      <c r="AFV35" s="230"/>
      <c r="AFW35" s="231"/>
      <c r="AFX35" s="232"/>
      <c r="AFY35" s="233"/>
      <c r="AFZ35" s="233"/>
      <c r="AGA35" s="233"/>
      <c r="AGB35" s="233"/>
      <c r="AGC35" s="233"/>
      <c r="AGD35" s="233"/>
      <c r="AGE35" s="231"/>
      <c r="AGF35" s="231"/>
      <c r="AGG35" s="229"/>
      <c r="AGH35" s="230"/>
      <c r="AGI35" s="231"/>
      <c r="AGJ35" s="232"/>
      <c r="AGK35" s="233"/>
      <c r="AGL35" s="233"/>
      <c r="AGM35" s="233"/>
      <c r="AGN35" s="233"/>
      <c r="AGO35" s="233"/>
      <c r="AGP35" s="233"/>
      <c r="AGQ35" s="231"/>
      <c r="AGR35" s="231"/>
      <c r="AGS35" s="229"/>
      <c r="AGT35" s="230"/>
      <c r="AGU35" s="231"/>
      <c r="AGV35" s="232"/>
      <c r="AGW35" s="233"/>
      <c r="AGX35" s="233"/>
      <c r="AGY35" s="233"/>
      <c r="AGZ35" s="233"/>
      <c r="AHA35" s="233"/>
      <c r="AHB35" s="233"/>
      <c r="AHC35" s="231"/>
      <c r="AHD35" s="231"/>
      <c r="AHE35" s="229"/>
      <c r="AHF35" s="230"/>
      <c r="AHG35" s="231"/>
      <c r="AHH35" s="232"/>
      <c r="AHI35" s="233"/>
      <c r="AHJ35" s="233"/>
      <c r="AHK35" s="233"/>
      <c r="AHL35" s="233"/>
      <c r="AHM35" s="233"/>
      <c r="AHN35" s="233"/>
      <c r="AHO35" s="231"/>
      <c r="AHP35" s="231"/>
      <c r="AHQ35" s="229"/>
      <c r="AHR35" s="230"/>
      <c r="AHS35" s="231"/>
      <c r="AHT35" s="232"/>
      <c r="AHU35" s="233"/>
      <c r="AHV35" s="233"/>
      <c r="AHW35" s="233"/>
      <c r="AHX35" s="233"/>
      <c r="AHY35" s="233"/>
      <c r="AHZ35" s="233"/>
      <c r="AIA35" s="231"/>
      <c r="AIB35" s="231"/>
      <c r="AIC35" s="229"/>
      <c r="AID35" s="230"/>
      <c r="AIE35" s="231"/>
      <c r="AIF35" s="232"/>
      <c r="AIG35" s="233"/>
      <c r="AIH35" s="233"/>
      <c r="AII35" s="233"/>
      <c r="AIJ35" s="233"/>
      <c r="AIK35" s="233"/>
      <c r="AIL35" s="233"/>
      <c r="AIM35" s="231"/>
      <c r="AIN35" s="231"/>
      <c r="AIO35" s="229"/>
      <c r="AIP35" s="230"/>
      <c r="AIQ35" s="231"/>
      <c r="AIR35" s="232"/>
      <c r="AIS35" s="233"/>
      <c r="AIT35" s="233"/>
      <c r="AIU35" s="233"/>
      <c r="AIV35" s="233"/>
      <c r="AIW35" s="233"/>
      <c r="AIX35" s="233"/>
      <c r="AIY35" s="231"/>
      <c r="AIZ35" s="231"/>
      <c r="AJA35" s="229"/>
      <c r="AJB35" s="230"/>
      <c r="AJC35" s="231"/>
      <c r="AJD35" s="232"/>
      <c r="AJE35" s="233"/>
      <c r="AJF35" s="233"/>
      <c r="AJG35" s="233"/>
      <c r="AJH35" s="233"/>
      <c r="AJI35" s="233"/>
      <c r="AJJ35" s="233"/>
      <c r="AJK35" s="231"/>
      <c r="AJL35" s="231"/>
      <c r="AJM35" s="229"/>
      <c r="AJN35" s="230"/>
      <c r="AJO35" s="231"/>
      <c r="AJP35" s="232"/>
      <c r="AJQ35" s="233"/>
      <c r="AJR35" s="233"/>
      <c r="AJS35" s="233"/>
      <c r="AJT35" s="233"/>
      <c r="AJU35" s="233"/>
      <c r="AJV35" s="233"/>
      <c r="AJW35" s="231"/>
      <c r="AJX35" s="231"/>
      <c r="AJY35" s="229"/>
      <c r="AJZ35" s="230"/>
      <c r="AKA35" s="231"/>
      <c r="AKB35" s="232"/>
      <c r="AKC35" s="233"/>
      <c r="AKD35" s="233"/>
      <c r="AKE35" s="233"/>
      <c r="AKF35" s="233"/>
      <c r="AKG35" s="233"/>
      <c r="AKH35" s="233"/>
      <c r="AKI35" s="231"/>
      <c r="AKJ35" s="231"/>
      <c r="AKK35" s="229"/>
      <c r="AKL35" s="230"/>
      <c r="AKM35" s="231"/>
      <c r="AKN35" s="232"/>
      <c r="AKO35" s="233"/>
      <c r="AKP35" s="233"/>
      <c r="AKQ35" s="233"/>
      <c r="AKR35" s="233"/>
      <c r="AKS35" s="233"/>
      <c r="AKT35" s="233"/>
      <c r="AKU35" s="231"/>
      <c r="AKV35" s="231"/>
      <c r="AKW35" s="229"/>
      <c r="AKX35" s="230"/>
      <c r="AKY35" s="231"/>
      <c r="AKZ35" s="232"/>
      <c r="ALA35" s="233"/>
      <c r="ALB35" s="233"/>
      <c r="ALC35" s="233"/>
      <c r="ALD35" s="233"/>
      <c r="ALE35" s="233"/>
      <c r="ALF35" s="233"/>
      <c r="ALG35" s="231"/>
      <c r="ALH35" s="231"/>
      <c r="ALI35" s="229"/>
      <c r="ALJ35" s="230"/>
      <c r="ALK35" s="231"/>
      <c r="ALL35" s="232"/>
      <c r="ALM35" s="233"/>
      <c r="ALN35" s="233"/>
      <c r="ALO35" s="233"/>
      <c r="ALP35" s="233"/>
      <c r="ALQ35" s="233"/>
      <c r="ALR35" s="233"/>
      <c r="ALS35" s="231"/>
      <c r="ALT35" s="231"/>
      <c r="ALU35" s="229"/>
      <c r="ALV35" s="230"/>
      <c r="ALW35" s="231"/>
      <c r="ALX35" s="232"/>
      <c r="ALY35" s="233"/>
      <c r="ALZ35" s="233"/>
      <c r="AMA35" s="233"/>
      <c r="AMB35" s="233"/>
      <c r="AMC35" s="233"/>
      <c r="AMD35" s="233"/>
      <c r="AME35" s="231"/>
      <c r="AMF35" s="231"/>
      <c r="AMG35" s="229"/>
      <c r="AMH35" s="230"/>
      <c r="AMI35" s="231"/>
      <c r="AMJ35" s="232"/>
      <c r="AMK35" s="233"/>
      <c r="AML35" s="233"/>
      <c r="AMM35" s="233"/>
      <c r="AMN35" s="233"/>
      <c r="AMO35" s="233"/>
      <c r="AMP35" s="233"/>
      <c r="AMQ35" s="231"/>
      <c r="AMR35" s="231"/>
      <c r="AMS35" s="229"/>
      <c r="AMT35" s="230"/>
      <c r="AMU35" s="231"/>
      <c r="AMV35" s="232"/>
      <c r="AMW35" s="233"/>
      <c r="AMX35" s="233"/>
      <c r="AMY35" s="233"/>
      <c r="AMZ35" s="233"/>
      <c r="ANA35" s="233"/>
      <c r="ANB35" s="233"/>
      <c r="ANC35" s="231"/>
      <c r="AND35" s="231"/>
      <c r="ANE35" s="229"/>
      <c r="ANF35" s="230"/>
      <c r="ANG35" s="231"/>
      <c r="ANH35" s="232"/>
      <c r="ANI35" s="233"/>
      <c r="ANJ35" s="233"/>
      <c r="ANK35" s="233"/>
      <c r="ANL35" s="233"/>
      <c r="ANM35" s="233"/>
      <c r="ANN35" s="233"/>
      <c r="ANO35" s="231"/>
      <c r="ANP35" s="231"/>
      <c r="ANQ35" s="229"/>
      <c r="ANR35" s="230"/>
      <c r="ANS35" s="231"/>
      <c r="ANT35" s="232"/>
      <c r="ANU35" s="233"/>
      <c r="ANV35" s="233"/>
      <c r="ANW35" s="233"/>
      <c r="ANX35" s="233"/>
      <c r="ANY35" s="233"/>
      <c r="ANZ35" s="233"/>
      <c r="AOA35" s="231"/>
      <c r="AOB35" s="231"/>
      <c r="AOC35" s="229"/>
      <c r="AOD35" s="230"/>
      <c r="AOE35" s="231"/>
      <c r="AOF35" s="232"/>
      <c r="AOG35" s="233"/>
      <c r="AOH35" s="233"/>
      <c r="AOI35" s="233"/>
      <c r="AOJ35" s="233"/>
      <c r="AOK35" s="233"/>
      <c r="AOL35" s="233"/>
      <c r="AOM35" s="231"/>
      <c r="AON35" s="231"/>
      <c r="AOO35" s="229"/>
      <c r="AOP35" s="230"/>
      <c r="AOQ35" s="231"/>
      <c r="AOR35" s="232"/>
      <c r="AOS35" s="233"/>
      <c r="AOT35" s="233"/>
      <c r="AOU35" s="233"/>
      <c r="AOV35" s="233"/>
      <c r="AOW35" s="233"/>
      <c r="AOX35" s="233"/>
      <c r="AOY35" s="231"/>
      <c r="AOZ35" s="231"/>
      <c r="APA35" s="229"/>
      <c r="APB35" s="230"/>
      <c r="APC35" s="231"/>
      <c r="APD35" s="232"/>
      <c r="APE35" s="233"/>
      <c r="APF35" s="233"/>
      <c r="APG35" s="233"/>
      <c r="APH35" s="233"/>
      <c r="API35" s="233"/>
      <c r="APJ35" s="233"/>
      <c r="APK35" s="231"/>
      <c r="APL35" s="231"/>
      <c r="APM35" s="229"/>
      <c r="APN35" s="230"/>
      <c r="APO35" s="231"/>
      <c r="APP35" s="232"/>
      <c r="APQ35" s="233"/>
      <c r="APR35" s="233"/>
      <c r="APS35" s="233"/>
      <c r="APT35" s="233"/>
      <c r="APU35" s="233"/>
      <c r="APV35" s="233"/>
      <c r="APW35" s="231"/>
      <c r="APX35" s="231"/>
      <c r="APY35" s="229"/>
      <c r="APZ35" s="230"/>
      <c r="AQA35" s="231"/>
      <c r="AQB35" s="232"/>
      <c r="AQC35" s="233"/>
      <c r="AQD35" s="233"/>
      <c r="AQE35" s="233"/>
      <c r="AQF35" s="233"/>
      <c r="AQG35" s="233"/>
      <c r="AQH35" s="233"/>
      <c r="AQI35" s="231"/>
      <c r="AQJ35" s="231"/>
      <c r="AQK35" s="229"/>
      <c r="AQL35" s="230"/>
      <c r="AQM35" s="231"/>
      <c r="AQN35" s="232"/>
      <c r="AQO35" s="233"/>
      <c r="AQP35" s="233"/>
      <c r="AQQ35" s="233"/>
      <c r="AQR35" s="233"/>
      <c r="AQS35" s="233"/>
      <c r="AQT35" s="233"/>
      <c r="AQU35" s="231"/>
      <c r="AQV35" s="231"/>
      <c r="AQW35" s="229"/>
      <c r="AQX35" s="230"/>
      <c r="AQY35" s="231"/>
      <c r="AQZ35" s="232"/>
      <c r="ARA35" s="233"/>
      <c r="ARB35" s="233"/>
      <c r="ARC35" s="233"/>
      <c r="ARD35" s="233"/>
      <c r="ARE35" s="233"/>
      <c r="ARF35" s="233"/>
      <c r="ARG35" s="231"/>
      <c r="ARH35" s="231"/>
      <c r="ARI35" s="229"/>
      <c r="ARJ35" s="230"/>
      <c r="ARK35" s="231"/>
      <c r="ARL35" s="232"/>
      <c r="ARM35" s="233"/>
      <c r="ARN35" s="233"/>
      <c r="ARO35" s="233"/>
      <c r="ARP35" s="233"/>
      <c r="ARQ35" s="233"/>
      <c r="ARR35" s="233"/>
      <c r="ARS35" s="231"/>
      <c r="ART35" s="231"/>
      <c r="ARU35" s="229"/>
      <c r="ARV35" s="230"/>
      <c r="ARW35" s="231"/>
      <c r="ARX35" s="232"/>
      <c r="ARY35" s="233"/>
      <c r="ARZ35" s="233"/>
      <c r="ASA35" s="233"/>
      <c r="ASB35" s="233"/>
      <c r="ASC35" s="233"/>
      <c r="ASD35" s="233"/>
      <c r="ASE35" s="231"/>
      <c r="ASF35" s="231"/>
      <c r="ASG35" s="229"/>
      <c r="ASH35" s="230"/>
      <c r="ASI35" s="231"/>
      <c r="ASJ35" s="232"/>
      <c r="ASK35" s="233"/>
      <c r="ASL35" s="233"/>
      <c r="ASM35" s="233"/>
      <c r="ASN35" s="233"/>
      <c r="ASO35" s="233"/>
      <c r="ASP35" s="233"/>
      <c r="ASQ35" s="231"/>
      <c r="ASR35" s="231"/>
      <c r="ASS35" s="229"/>
      <c r="AST35" s="230"/>
      <c r="ASU35" s="231"/>
      <c r="ASV35" s="232"/>
      <c r="ASW35" s="233"/>
      <c r="ASX35" s="233"/>
      <c r="ASY35" s="233"/>
      <c r="ASZ35" s="233"/>
      <c r="ATA35" s="233"/>
      <c r="ATB35" s="233"/>
      <c r="ATC35" s="231"/>
      <c r="ATD35" s="231"/>
      <c r="ATE35" s="229"/>
      <c r="ATF35" s="230"/>
      <c r="ATG35" s="231"/>
      <c r="ATH35" s="232"/>
      <c r="ATI35" s="233"/>
      <c r="ATJ35" s="233"/>
      <c r="ATK35" s="233"/>
      <c r="ATL35" s="233"/>
      <c r="ATM35" s="233"/>
      <c r="ATN35" s="233"/>
      <c r="ATO35" s="231"/>
      <c r="ATP35" s="231"/>
      <c r="ATQ35" s="229"/>
      <c r="ATR35" s="230"/>
      <c r="ATS35" s="231"/>
      <c r="ATT35" s="232"/>
      <c r="ATU35" s="233"/>
      <c r="ATV35" s="233"/>
      <c r="ATW35" s="233"/>
      <c r="ATX35" s="233"/>
      <c r="ATY35" s="233"/>
      <c r="ATZ35" s="233"/>
      <c r="AUA35" s="231"/>
      <c r="AUB35" s="231"/>
      <c r="AUC35" s="229"/>
      <c r="AUD35" s="230"/>
      <c r="AUE35" s="231"/>
      <c r="AUF35" s="232"/>
      <c r="AUG35" s="233"/>
      <c r="AUH35" s="233"/>
      <c r="AUI35" s="233"/>
      <c r="AUJ35" s="233"/>
      <c r="AUK35" s="233"/>
      <c r="AUL35" s="233"/>
      <c r="AUM35" s="231"/>
      <c r="AUN35" s="231"/>
      <c r="AUO35" s="229"/>
      <c r="AUP35" s="230"/>
      <c r="AUQ35" s="231"/>
      <c r="AUR35" s="232"/>
      <c r="AUS35" s="233"/>
      <c r="AUT35" s="233"/>
      <c r="AUU35" s="233"/>
      <c r="AUV35" s="233"/>
      <c r="AUW35" s="233"/>
      <c r="AUX35" s="233"/>
      <c r="AUY35" s="231"/>
      <c r="AUZ35" s="231"/>
      <c r="AVA35" s="229"/>
      <c r="AVB35" s="230"/>
      <c r="AVC35" s="231"/>
      <c r="AVD35" s="232"/>
      <c r="AVE35" s="233"/>
      <c r="AVF35" s="233"/>
      <c r="AVG35" s="233"/>
      <c r="AVH35" s="233"/>
      <c r="AVI35" s="233"/>
      <c r="AVJ35" s="233"/>
      <c r="AVK35" s="231"/>
      <c r="AVL35" s="231"/>
      <c r="AVM35" s="229"/>
      <c r="AVN35" s="230"/>
      <c r="AVO35" s="231"/>
      <c r="AVP35" s="232"/>
      <c r="AVQ35" s="233"/>
      <c r="AVR35" s="233"/>
      <c r="AVS35" s="233"/>
      <c r="AVT35" s="233"/>
      <c r="AVU35" s="233"/>
      <c r="AVV35" s="233"/>
      <c r="AVW35" s="231"/>
      <c r="AVX35" s="231"/>
      <c r="AVY35" s="229"/>
      <c r="AVZ35" s="230"/>
      <c r="AWA35" s="231"/>
      <c r="AWB35" s="232"/>
      <c r="AWC35" s="233"/>
      <c r="AWD35" s="233"/>
      <c r="AWE35" s="233"/>
      <c r="AWF35" s="233"/>
      <c r="AWG35" s="233"/>
      <c r="AWH35" s="233"/>
      <c r="AWI35" s="231"/>
      <c r="AWJ35" s="231"/>
      <c r="AWK35" s="229"/>
      <c r="AWL35" s="230"/>
      <c r="AWM35" s="231"/>
      <c r="AWN35" s="232"/>
      <c r="AWO35" s="233"/>
      <c r="AWP35" s="233"/>
      <c r="AWQ35" s="233"/>
      <c r="AWR35" s="233"/>
      <c r="AWS35" s="233"/>
      <c r="AWT35" s="233"/>
      <c r="AWU35" s="231"/>
      <c r="AWV35" s="231"/>
      <c r="AWW35" s="229"/>
      <c r="AWX35" s="230"/>
      <c r="AWY35" s="231"/>
      <c r="AWZ35" s="232"/>
      <c r="AXA35" s="233"/>
      <c r="AXB35" s="233"/>
      <c r="AXC35" s="233"/>
      <c r="AXD35" s="233"/>
      <c r="AXE35" s="233"/>
      <c r="AXF35" s="233"/>
      <c r="AXG35" s="231"/>
      <c r="AXH35" s="231"/>
      <c r="AXI35" s="229"/>
      <c r="AXJ35" s="230"/>
      <c r="AXK35" s="231"/>
      <c r="AXL35" s="232"/>
      <c r="AXM35" s="233"/>
      <c r="AXN35" s="233"/>
      <c r="AXO35" s="233"/>
      <c r="AXP35" s="233"/>
      <c r="AXQ35" s="233"/>
      <c r="AXR35" s="233"/>
      <c r="AXS35" s="231"/>
      <c r="AXT35" s="231"/>
      <c r="AXU35" s="229"/>
      <c r="AXV35" s="230"/>
      <c r="AXW35" s="231"/>
      <c r="AXX35" s="232"/>
      <c r="AXY35" s="233"/>
      <c r="AXZ35" s="233"/>
      <c r="AYA35" s="233"/>
      <c r="AYB35" s="233"/>
      <c r="AYC35" s="233"/>
      <c r="AYD35" s="233"/>
      <c r="AYE35" s="231"/>
      <c r="AYF35" s="231"/>
      <c r="AYG35" s="229"/>
      <c r="AYH35" s="230"/>
      <c r="AYI35" s="231"/>
      <c r="AYJ35" s="232"/>
      <c r="AYK35" s="233"/>
      <c r="AYL35" s="233"/>
      <c r="AYM35" s="233"/>
      <c r="AYN35" s="233"/>
      <c r="AYO35" s="233"/>
      <c r="AYP35" s="233"/>
      <c r="AYQ35" s="231"/>
      <c r="AYR35" s="231"/>
      <c r="AYS35" s="229"/>
      <c r="AYT35" s="230"/>
      <c r="AYU35" s="231"/>
      <c r="AYV35" s="232"/>
      <c r="AYW35" s="233"/>
      <c r="AYX35" s="233"/>
      <c r="AYY35" s="233"/>
      <c r="AYZ35" s="233"/>
      <c r="AZA35" s="233"/>
      <c r="AZB35" s="233"/>
      <c r="AZC35" s="231"/>
      <c r="AZD35" s="231"/>
      <c r="AZE35" s="229"/>
      <c r="AZF35" s="230"/>
      <c r="AZG35" s="231"/>
      <c r="AZH35" s="232"/>
      <c r="AZI35" s="233"/>
      <c r="AZJ35" s="233"/>
      <c r="AZK35" s="233"/>
      <c r="AZL35" s="233"/>
      <c r="AZM35" s="233"/>
      <c r="AZN35" s="233"/>
      <c r="AZO35" s="231"/>
      <c r="AZP35" s="231"/>
      <c r="AZQ35" s="229"/>
      <c r="AZR35" s="230"/>
      <c r="AZS35" s="231"/>
      <c r="AZT35" s="232"/>
      <c r="AZU35" s="233"/>
      <c r="AZV35" s="233"/>
      <c r="AZW35" s="233"/>
      <c r="AZX35" s="233"/>
      <c r="AZY35" s="233"/>
      <c r="AZZ35" s="233"/>
      <c r="BAA35" s="231"/>
      <c r="BAB35" s="231"/>
      <c r="BAC35" s="229"/>
      <c r="BAD35" s="230"/>
      <c r="BAE35" s="231"/>
      <c r="BAF35" s="232"/>
      <c r="BAG35" s="233"/>
      <c r="BAH35" s="233"/>
      <c r="BAI35" s="233"/>
      <c r="BAJ35" s="233"/>
      <c r="BAK35" s="233"/>
      <c r="BAL35" s="233"/>
      <c r="BAM35" s="231"/>
      <c r="BAN35" s="231"/>
      <c r="BAO35" s="229"/>
      <c r="BAP35" s="230"/>
      <c r="BAQ35" s="231"/>
      <c r="BAR35" s="232"/>
      <c r="BAS35" s="233"/>
      <c r="BAT35" s="233"/>
      <c r="BAU35" s="233"/>
      <c r="BAV35" s="233"/>
      <c r="BAW35" s="233"/>
      <c r="BAX35" s="233"/>
      <c r="BAY35" s="231"/>
      <c r="BAZ35" s="231"/>
      <c r="BBA35" s="229"/>
      <c r="BBB35" s="230"/>
      <c r="BBC35" s="231"/>
      <c r="BBD35" s="232"/>
      <c r="BBE35" s="233"/>
      <c r="BBF35" s="233"/>
      <c r="BBG35" s="233"/>
      <c r="BBH35" s="233"/>
      <c r="BBI35" s="233"/>
      <c r="BBJ35" s="233"/>
      <c r="BBK35" s="231"/>
      <c r="BBL35" s="231"/>
      <c r="BBM35" s="229"/>
      <c r="BBN35" s="230"/>
      <c r="BBO35" s="231"/>
      <c r="BBP35" s="232"/>
      <c r="BBQ35" s="233"/>
      <c r="BBR35" s="233"/>
      <c r="BBS35" s="233"/>
      <c r="BBT35" s="233"/>
      <c r="BBU35" s="233"/>
      <c r="BBV35" s="233"/>
      <c r="BBW35" s="231"/>
      <c r="BBX35" s="231"/>
      <c r="BBY35" s="229"/>
      <c r="BBZ35" s="230"/>
      <c r="BCA35" s="231"/>
      <c r="BCB35" s="232"/>
      <c r="BCC35" s="233"/>
      <c r="BCD35" s="233"/>
      <c r="BCE35" s="233"/>
      <c r="BCF35" s="233"/>
      <c r="BCG35" s="233"/>
      <c r="BCH35" s="233"/>
      <c r="BCI35" s="231"/>
      <c r="BCJ35" s="231"/>
      <c r="BCK35" s="229"/>
      <c r="BCL35" s="230"/>
      <c r="BCM35" s="231"/>
      <c r="BCN35" s="232"/>
      <c r="BCO35" s="233"/>
      <c r="BCP35" s="233"/>
      <c r="BCQ35" s="233"/>
      <c r="BCR35" s="233"/>
      <c r="BCS35" s="233"/>
      <c r="BCT35" s="233"/>
      <c r="BCU35" s="231"/>
      <c r="BCV35" s="231"/>
      <c r="BCW35" s="229"/>
      <c r="BCX35" s="230"/>
      <c r="BCY35" s="231"/>
      <c r="BCZ35" s="232"/>
      <c r="BDA35" s="233"/>
      <c r="BDB35" s="233"/>
      <c r="BDC35" s="233"/>
      <c r="BDD35" s="233"/>
      <c r="BDE35" s="233"/>
      <c r="BDF35" s="233"/>
      <c r="BDG35" s="231"/>
      <c r="BDH35" s="231"/>
      <c r="BDI35" s="229"/>
      <c r="BDJ35" s="230"/>
      <c r="BDK35" s="231"/>
      <c r="BDL35" s="232"/>
      <c r="BDM35" s="233"/>
      <c r="BDN35" s="233"/>
      <c r="BDO35" s="233"/>
      <c r="BDP35" s="233"/>
      <c r="BDQ35" s="233"/>
      <c r="BDR35" s="233"/>
      <c r="BDS35" s="231"/>
      <c r="BDT35" s="231"/>
      <c r="BDU35" s="229"/>
      <c r="BDV35" s="230"/>
      <c r="BDW35" s="231"/>
      <c r="BDX35" s="232"/>
      <c r="BDY35" s="233"/>
      <c r="BDZ35" s="233"/>
      <c r="BEA35" s="233"/>
      <c r="BEB35" s="233"/>
      <c r="BEC35" s="233"/>
      <c r="BED35" s="233"/>
      <c r="BEE35" s="231"/>
      <c r="BEF35" s="231"/>
      <c r="BEG35" s="229"/>
      <c r="BEH35" s="230"/>
      <c r="BEI35" s="231"/>
      <c r="BEJ35" s="232"/>
      <c r="BEK35" s="233"/>
      <c r="BEL35" s="233"/>
      <c r="BEM35" s="233"/>
      <c r="BEN35" s="233"/>
      <c r="BEO35" s="233"/>
      <c r="BEP35" s="233"/>
      <c r="BEQ35" s="231"/>
      <c r="BER35" s="231"/>
      <c r="BES35" s="229"/>
      <c r="BET35" s="230"/>
      <c r="BEU35" s="231"/>
      <c r="BEV35" s="232"/>
      <c r="BEW35" s="233"/>
      <c r="BEX35" s="233"/>
      <c r="BEY35" s="233"/>
      <c r="BEZ35" s="233"/>
      <c r="BFA35" s="233"/>
      <c r="BFB35" s="233"/>
      <c r="BFC35" s="231"/>
      <c r="BFD35" s="231"/>
      <c r="BFE35" s="229"/>
      <c r="BFF35" s="230"/>
      <c r="BFG35" s="231"/>
      <c r="BFH35" s="232"/>
      <c r="BFI35" s="233"/>
      <c r="BFJ35" s="233"/>
      <c r="BFK35" s="233"/>
      <c r="BFL35" s="233"/>
      <c r="BFM35" s="233"/>
      <c r="BFN35" s="233"/>
      <c r="BFO35" s="231"/>
      <c r="BFP35" s="231"/>
      <c r="BFQ35" s="229"/>
      <c r="BFR35" s="230"/>
      <c r="BFS35" s="231"/>
      <c r="BFT35" s="232"/>
      <c r="BFU35" s="233"/>
      <c r="BFV35" s="233"/>
      <c r="BFW35" s="233"/>
      <c r="BFX35" s="233"/>
      <c r="BFY35" s="233"/>
      <c r="BFZ35" s="233"/>
      <c r="BGA35" s="231"/>
      <c r="BGB35" s="231"/>
      <c r="BGC35" s="229"/>
      <c r="BGD35" s="230"/>
      <c r="BGE35" s="231"/>
      <c r="BGF35" s="232"/>
      <c r="BGG35" s="233"/>
      <c r="BGH35" s="233"/>
      <c r="BGI35" s="233"/>
      <c r="BGJ35" s="233"/>
      <c r="BGK35" s="233"/>
      <c r="BGL35" s="233"/>
      <c r="BGM35" s="231"/>
      <c r="BGN35" s="231"/>
      <c r="BGO35" s="229"/>
      <c r="BGP35" s="230"/>
      <c r="BGQ35" s="231"/>
      <c r="BGR35" s="232"/>
      <c r="BGS35" s="233"/>
      <c r="BGT35" s="233"/>
      <c r="BGU35" s="233"/>
      <c r="BGV35" s="233"/>
      <c r="BGW35" s="233"/>
      <c r="BGX35" s="233"/>
      <c r="BGY35" s="231"/>
      <c r="BGZ35" s="231"/>
      <c r="BHA35" s="229"/>
      <c r="BHB35" s="230"/>
      <c r="BHC35" s="231"/>
      <c r="BHD35" s="232"/>
      <c r="BHE35" s="233"/>
      <c r="BHF35" s="233"/>
      <c r="BHG35" s="233"/>
      <c r="BHH35" s="233"/>
      <c r="BHI35" s="233"/>
      <c r="BHJ35" s="233"/>
      <c r="BHK35" s="231"/>
      <c r="BHL35" s="231"/>
      <c r="BHM35" s="229"/>
      <c r="BHN35" s="230"/>
      <c r="BHO35" s="231"/>
      <c r="BHP35" s="232"/>
      <c r="BHQ35" s="233"/>
      <c r="BHR35" s="233"/>
      <c r="BHS35" s="233"/>
      <c r="BHT35" s="233"/>
      <c r="BHU35" s="233"/>
      <c r="BHV35" s="233"/>
      <c r="BHW35" s="231"/>
      <c r="BHX35" s="231"/>
      <c r="BHY35" s="229"/>
      <c r="BHZ35" s="230"/>
      <c r="BIA35" s="231"/>
      <c r="BIB35" s="232"/>
      <c r="BIC35" s="233"/>
      <c r="BID35" s="233"/>
      <c r="BIE35" s="233"/>
      <c r="BIF35" s="233"/>
      <c r="BIG35" s="233"/>
      <c r="BIH35" s="233"/>
      <c r="BII35" s="231"/>
      <c r="BIJ35" s="231"/>
      <c r="BIK35" s="229"/>
      <c r="BIL35" s="230"/>
      <c r="BIM35" s="231"/>
      <c r="BIN35" s="232"/>
      <c r="BIO35" s="233"/>
      <c r="BIP35" s="233"/>
      <c r="BIQ35" s="233"/>
      <c r="BIR35" s="233"/>
      <c r="BIS35" s="233"/>
      <c r="BIT35" s="233"/>
      <c r="BIU35" s="231"/>
      <c r="BIV35" s="231"/>
      <c r="BIW35" s="229"/>
      <c r="BIX35" s="230"/>
      <c r="BIY35" s="231"/>
      <c r="BIZ35" s="232"/>
      <c r="BJA35" s="233"/>
      <c r="BJB35" s="233"/>
      <c r="BJC35" s="233"/>
      <c r="BJD35" s="233"/>
      <c r="BJE35" s="233"/>
      <c r="BJF35" s="233"/>
      <c r="BJG35" s="231"/>
      <c r="BJH35" s="231"/>
      <c r="BJI35" s="229"/>
      <c r="BJJ35" s="230"/>
      <c r="BJK35" s="231"/>
      <c r="BJL35" s="232"/>
      <c r="BJM35" s="233"/>
      <c r="BJN35" s="233"/>
      <c r="BJO35" s="233"/>
      <c r="BJP35" s="233"/>
      <c r="BJQ35" s="233"/>
      <c r="BJR35" s="233"/>
      <c r="BJS35" s="231"/>
      <c r="BJT35" s="231"/>
      <c r="BJU35" s="229"/>
      <c r="BJV35" s="230"/>
      <c r="BJW35" s="231"/>
      <c r="BJX35" s="232"/>
      <c r="BJY35" s="233"/>
      <c r="BJZ35" s="233"/>
      <c r="BKA35" s="233"/>
      <c r="BKB35" s="233"/>
      <c r="BKC35" s="233"/>
      <c r="BKD35" s="233"/>
      <c r="BKE35" s="231"/>
      <c r="BKF35" s="231"/>
      <c r="BKG35" s="229"/>
      <c r="BKH35" s="230"/>
      <c r="BKI35" s="231"/>
      <c r="BKJ35" s="232"/>
      <c r="BKK35" s="233"/>
      <c r="BKL35" s="233"/>
      <c r="BKM35" s="233"/>
      <c r="BKN35" s="233"/>
      <c r="BKO35" s="233"/>
      <c r="BKP35" s="233"/>
      <c r="BKQ35" s="231"/>
      <c r="BKR35" s="231"/>
      <c r="BKS35" s="229"/>
      <c r="BKT35" s="230"/>
      <c r="BKU35" s="231"/>
      <c r="BKV35" s="232"/>
      <c r="BKW35" s="233"/>
      <c r="BKX35" s="233"/>
      <c r="BKY35" s="233"/>
      <c r="BKZ35" s="233"/>
      <c r="BLA35" s="233"/>
      <c r="BLB35" s="233"/>
      <c r="BLC35" s="231"/>
      <c r="BLD35" s="231"/>
      <c r="BLE35" s="229"/>
      <c r="BLF35" s="230"/>
      <c r="BLG35" s="231"/>
      <c r="BLH35" s="232"/>
      <c r="BLI35" s="233"/>
      <c r="BLJ35" s="233"/>
      <c r="BLK35" s="233"/>
      <c r="BLL35" s="233"/>
      <c r="BLM35" s="233"/>
      <c r="BLN35" s="233"/>
      <c r="BLO35" s="231"/>
      <c r="BLP35" s="231"/>
      <c r="BLQ35" s="229"/>
      <c r="BLR35" s="230"/>
      <c r="BLS35" s="231"/>
      <c r="BLT35" s="232"/>
      <c r="BLU35" s="233"/>
      <c r="BLV35" s="233"/>
      <c r="BLW35" s="233"/>
      <c r="BLX35" s="233"/>
      <c r="BLY35" s="233"/>
      <c r="BLZ35" s="233"/>
      <c r="BMA35" s="231"/>
      <c r="BMB35" s="231"/>
      <c r="BMC35" s="229"/>
      <c r="BMD35" s="230"/>
      <c r="BME35" s="231"/>
      <c r="BMF35" s="232"/>
      <c r="BMG35" s="233"/>
      <c r="BMH35" s="233"/>
      <c r="BMI35" s="233"/>
      <c r="BMJ35" s="233"/>
      <c r="BMK35" s="233"/>
      <c r="BML35" s="233"/>
      <c r="BMM35" s="231"/>
      <c r="BMN35" s="231"/>
      <c r="BMO35" s="229"/>
      <c r="BMP35" s="230"/>
      <c r="BMQ35" s="231"/>
      <c r="BMR35" s="232"/>
      <c r="BMS35" s="233"/>
      <c r="BMT35" s="233"/>
      <c r="BMU35" s="233"/>
      <c r="BMV35" s="233"/>
      <c r="BMW35" s="233"/>
      <c r="BMX35" s="233"/>
      <c r="BMY35" s="231"/>
      <c r="BMZ35" s="231"/>
      <c r="BNA35" s="229"/>
      <c r="BNB35" s="230"/>
      <c r="BNC35" s="231"/>
      <c r="BND35" s="232"/>
      <c r="BNE35" s="233"/>
      <c r="BNF35" s="233"/>
      <c r="BNG35" s="233"/>
      <c r="BNH35" s="233"/>
      <c r="BNI35" s="233"/>
      <c r="BNJ35" s="233"/>
      <c r="BNK35" s="231"/>
      <c r="BNL35" s="231"/>
      <c r="BNM35" s="229"/>
      <c r="BNN35" s="230"/>
      <c r="BNO35" s="231"/>
      <c r="BNP35" s="232"/>
      <c r="BNQ35" s="233"/>
      <c r="BNR35" s="233"/>
      <c r="BNS35" s="233"/>
      <c r="BNT35" s="233"/>
      <c r="BNU35" s="233"/>
      <c r="BNV35" s="233"/>
      <c r="BNW35" s="231"/>
      <c r="BNX35" s="231"/>
      <c r="BNY35" s="229"/>
      <c r="BNZ35" s="230"/>
      <c r="BOA35" s="231"/>
      <c r="BOB35" s="232"/>
      <c r="BOC35" s="233"/>
      <c r="BOD35" s="233"/>
      <c r="BOE35" s="233"/>
      <c r="BOF35" s="233"/>
      <c r="BOG35" s="233"/>
      <c r="BOH35" s="233"/>
      <c r="BOI35" s="231"/>
      <c r="BOJ35" s="231"/>
      <c r="BOK35" s="229"/>
      <c r="BOL35" s="230"/>
      <c r="BOM35" s="231"/>
      <c r="BON35" s="232"/>
      <c r="BOO35" s="233"/>
      <c r="BOP35" s="233"/>
      <c r="BOQ35" s="233"/>
      <c r="BOR35" s="233"/>
      <c r="BOS35" s="233"/>
      <c r="BOT35" s="233"/>
      <c r="BOU35" s="231"/>
      <c r="BOV35" s="231"/>
      <c r="BOW35" s="229"/>
      <c r="BOX35" s="230"/>
      <c r="BOY35" s="231"/>
      <c r="BOZ35" s="232"/>
      <c r="BPA35" s="233"/>
      <c r="BPB35" s="233"/>
      <c r="BPC35" s="233"/>
      <c r="BPD35" s="233"/>
      <c r="BPE35" s="233"/>
      <c r="BPF35" s="233"/>
      <c r="BPG35" s="231"/>
      <c r="BPH35" s="231"/>
      <c r="BPI35" s="229"/>
      <c r="BPJ35" s="230"/>
      <c r="BPK35" s="231"/>
      <c r="BPL35" s="232"/>
      <c r="BPM35" s="233"/>
      <c r="BPN35" s="233"/>
      <c r="BPO35" s="233"/>
      <c r="BPP35" s="233"/>
      <c r="BPQ35" s="233"/>
      <c r="BPR35" s="233"/>
      <c r="BPS35" s="231"/>
      <c r="BPT35" s="231"/>
      <c r="BPU35" s="229"/>
      <c r="BPV35" s="230"/>
      <c r="BPW35" s="231"/>
      <c r="BPX35" s="232"/>
      <c r="BPY35" s="233"/>
      <c r="BPZ35" s="233"/>
      <c r="BQA35" s="233"/>
      <c r="BQB35" s="233"/>
      <c r="BQC35" s="233"/>
      <c r="BQD35" s="233"/>
      <c r="BQE35" s="231"/>
      <c r="BQF35" s="231"/>
      <c r="BQG35" s="229"/>
      <c r="BQH35" s="230"/>
      <c r="BQI35" s="231"/>
      <c r="BQJ35" s="232"/>
      <c r="BQK35" s="233"/>
      <c r="BQL35" s="233"/>
      <c r="BQM35" s="233"/>
      <c r="BQN35" s="233"/>
      <c r="BQO35" s="233"/>
      <c r="BQP35" s="233"/>
      <c r="BQQ35" s="231"/>
      <c r="BQR35" s="231"/>
      <c r="BQS35" s="229"/>
      <c r="BQT35" s="230"/>
      <c r="BQU35" s="231"/>
      <c r="BQV35" s="232"/>
      <c r="BQW35" s="233"/>
      <c r="BQX35" s="233"/>
      <c r="BQY35" s="233"/>
      <c r="BQZ35" s="233"/>
      <c r="BRA35" s="233"/>
      <c r="BRB35" s="233"/>
      <c r="BRC35" s="231"/>
      <c r="BRD35" s="231"/>
      <c r="BRE35" s="229"/>
      <c r="BRF35" s="230"/>
      <c r="BRG35" s="231"/>
      <c r="BRH35" s="232"/>
      <c r="BRI35" s="233"/>
      <c r="BRJ35" s="233"/>
      <c r="BRK35" s="233"/>
      <c r="BRL35" s="233"/>
      <c r="BRM35" s="233"/>
      <c r="BRN35" s="233"/>
      <c r="BRO35" s="231"/>
      <c r="BRP35" s="231"/>
      <c r="BRQ35" s="229"/>
      <c r="BRR35" s="230"/>
      <c r="BRS35" s="231"/>
      <c r="BRT35" s="232"/>
      <c r="BRU35" s="233"/>
      <c r="BRV35" s="233"/>
      <c r="BRW35" s="233"/>
      <c r="BRX35" s="233"/>
      <c r="BRY35" s="233"/>
      <c r="BRZ35" s="233"/>
      <c r="BSA35" s="231"/>
      <c r="BSB35" s="231"/>
      <c r="BSC35" s="229"/>
      <c r="BSD35" s="230"/>
      <c r="BSE35" s="231"/>
      <c r="BSF35" s="232"/>
      <c r="BSG35" s="233"/>
      <c r="BSH35" s="233"/>
      <c r="BSI35" s="233"/>
      <c r="BSJ35" s="233"/>
      <c r="BSK35" s="233"/>
      <c r="BSL35" s="233"/>
      <c r="BSM35" s="231"/>
      <c r="BSN35" s="231"/>
      <c r="BSO35" s="229"/>
      <c r="BSP35" s="230"/>
      <c r="BSQ35" s="231"/>
      <c r="BSR35" s="232"/>
      <c r="BSS35" s="233"/>
      <c r="BST35" s="233"/>
      <c r="BSU35" s="233"/>
      <c r="BSV35" s="233"/>
      <c r="BSW35" s="233"/>
      <c r="BSX35" s="233"/>
      <c r="BSY35" s="231"/>
      <c r="BSZ35" s="231"/>
      <c r="BTA35" s="229"/>
      <c r="BTB35" s="230"/>
      <c r="BTC35" s="231"/>
      <c r="BTD35" s="232"/>
      <c r="BTE35" s="233"/>
      <c r="BTF35" s="233"/>
      <c r="BTG35" s="233"/>
      <c r="BTH35" s="233"/>
      <c r="BTI35" s="233"/>
      <c r="BTJ35" s="233"/>
      <c r="BTK35" s="231"/>
      <c r="BTL35" s="231"/>
      <c r="BTM35" s="229"/>
      <c r="BTN35" s="230"/>
      <c r="BTO35" s="231"/>
      <c r="BTP35" s="232"/>
      <c r="BTQ35" s="233"/>
      <c r="BTR35" s="233"/>
      <c r="BTS35" s="233"/>
      <c r="BTT35" s="233"/>
      <c r="BTU35" s="233"/>
      <c r="BTV35" s="233"/>
      <c r="BTW35" s="231"/>
      <c r="BTX35" s="231"/>
      <c r="BTY35" s="229"/>
      <c r="BTZ35" s="230"/>
      <c r="BUA35" s="231"/>
      <c r="BUB35" s="232"/>
      <c r="BUC35" s="233"/>
      <c r="BUD35" s="233"/>
      <c r="BUE35" s="233"/>
      <c r="BUF35" s="233"/>
      <c r="BUG35" s="233"/>
      <c r="BUH35" s="233"/>
      <c r="BUI35" s="231"/>
      <c r="BUJ35" s="231"/>
      <c r="BUK35" s="229"/>
      <c r="BUL35" s="230"/>
      <c r="BUM35" s="231"/>
      <c r="BUN35" s="232"/>
      <c r="BUO35" s="233"/>
      <c r="BUP35" s="233"/>
      <c r="BUQ35" s="233"/>
      <c r="BUR35" s="233"/>
      <c r="BUS35" s="233"/>
      <c r="BUT35" s="233"/>
      <c r="BUU35" s="231"/>
      <c r="BUV35" s="231"/>
      <c r="BUW35" s="229"/>
      <c r="BUX35" s="230"/>
      <c r="BUY35" s="231"/>
      <c r="BUZ35" s="232"/>
      <c r="BVA35" s="233"/>
      <c r="BVB35" s="233"/>
      <c r="BVC35" s="233"/>
      <c r="BVD35" s="233"/>
      <c r="BVE35" s="233"/>
      <c r="BVF35" s="233"/>
      <c r="BVG35" s="231"/>
      <c r="BVH35" s="231"/>
      <c r="BVI35" s="229"/>
      <c r="BVJ35" s="230"/>
      <c r="BVK35" s="231"/>
      <c r="BVL35" s="232"/>
      <c r="BVM35" s="233"/>
      <c r="BVN35" s="233"/>
      <c r="BVO35" s="233"/>
      <c r="BVP35" s="233"/>
      <c r="BVQ35" s="233"/>
      <c r="BVR35" s="233"/>
      <c r="BVS35" s="231"/>
      <c r="BVT35" s="231"/>
      <c r="BVU35" s="229"/>
      <c r="BVV35" s="230"/>
      <c r="BVW35" s="231"/>
      <c r="BVX35" s="232"/>
      <c r="BVY35" s="233"/>
      <c r="BVZ35" s="233"/>
      <c r="BWA35" s="233"/>
      <c r="BWB35" s="233"/>
      <c r="BWC35" s="233"/>
      <c r="BWD35" s="233"/>
      <c r="BWE35" s="231"/>
      <c r="BWF35" s="231"/>
      <c r="BWG35" s="229"/>
      <c r="BWH35" s="230"/>
      <c r="BWI35" s="231"/>
      <c r="BWJ35" s="232"/>
      <c r="BWK35" s="233"/>
      <c r="BWL35" s="233"/>
      <c r="BWM35" s="233"/>
      <c r="BWN35" s="233"/>
      <c r="BWO35" s="233"/>
      <c r="BWP35" s="233"/>
      <c r="BWQ35" s="231"/>
      <c r="BWR35" s="231"/>
      <c r="BWS35" s="229"/>
      <c r="BWT35" s="230"/>
      <c r="BWU35" s="231"/>
      <c r="BWV35" s="232"/>
      <c r="BWW35" s="233"/>
      <c r="BWX35" s="233"/>
      <c r="BWY35" s="233"/>
      <c r="BWZ35" s="233"/>
      <c r="BXA35" s="233"/>
      <c r="BXB35" s="233"/>
      <c r="BXC35" s="231"/>
      <c r="BXD35" s="231"/>
      <c r="BXE35" s="229"/>
      <c r="BXF35" s="230"/>
      <c r="BXG35" s="231"/>
      <c r="BXH35" s="232"/>
      <c r="BXI35" s="233"/>
      <c r="BXJ35" s="233"/>
      <c r="BXK35" s="233"/>
      <c r="BXL35" s="233"/>
      <c r="BXM35" s="233"/>
      <c r="BXN35" s="233"/>
      <c r="BXO35" s="231"/>
      <c r="BXP35" s="231"/>
      <c r="BXQ35" s="229"/>
      <c r="BXR35" s="230"/>
      <c r="BXS35" s="231"/>
      <c r="BXT35" s="232"/>
      <c r="BXU35" s="233"/>
      <c r="BXV35" s="233"/>
      <c r="BXW35" s="233"/>
      <c r="BXX35" s="233"/>
      <c r="BXY35" s="233"/>
      <c r="BXZ35" s="233"/>
      <c r="BYA35" s="231"/>
      <c r="BYB35" s="231"/>
      <c r="BYC35" s="229"/>
      <c r="BYD35" s="230"/>
      <c r="BYE35" s="231"/>
      <c r="BYF35" s="232"/>
      <c r="BYG35" s="233"/>
      <c r="BYH35" s="233"/>
      <c r="BYI35" s="233"/>
      <c r="BYJ35" s="233"/>
      <c r="BYK35" s="233"/>
      <c r="BYL35" s="233"/>
      <c r="BYM35" s="231"/>
      <c r="BYN35" s="231"/>
      <c r="BYO35" s="229"/>
      <c r="BYP35" s="230"/>
      <c r="BYQ35" s="231"/>
      <c r="BYR35" s="232"/>
      <c r="BYS35" s="233"/>
      <c r="BYT35" s="233"/>
      <c r="BYU35" s="233"/>
      <c r="BYV35" s="233"/>
      <c r="BYW35" s="233"/>
      <c r="BYX35" s="233"/>
      <c r="BYY35" s="231"/>
      <c r="BYZ35" s="231"/>
      <c r="BZA35" s="229"/>
      <c r="BZB35" s="230"/>
      <c r="BZC35" s="231"/>
      <c r="BZD35" s="232"/>
      <c r="BZE35" s="233"/>
      <c r="BZF35" s="233"/>
      <c r="BZG35" s="233"/>
      <c r="BZH35" s="233"/>
      <c r="BZI35" s="233"/>
      <c r="BZJ35" s="233"/>
      <c r="BZK35" s="231"/>
      <c r="BZL35" s="231"/>
      <c r="BZM35" s="229"/>
      <c r="BZN35" s="230"/>
      <c r="BZO35" s="231"/>
      <c r="BZP35" s="232"/>
      <c r="BZQ35" s="233"/>
      <c r="BZR35" s="233"/>
      <c r="BZS35" s="233"/>
      <c r="BZT35" s="233"/>
      <c r="BZU35" s="233"/>
      <c r="BZV35" s="233"/>
      <c r="BZW35" s="231"/>
      <c r="BZX35" s="231"/>
      <c r="BZY35" s="229"/>
      <c r="BZZ35" s="230"/>
      <c r="CAA35" s="231"/>
      <c r="CAB35" s="232"/>
      <c r="CAC35" s="233"/>
      <c r="CAD35" s="233"/>
      <c r="CAE35" s="233"/>
      <c r="CAF35" s="233"/>
      <c r="CAG35" s="233"/>
      <c r="CAH35" s="233"/>
      <c r="CAI35" s="231"/>
      <c r="CAJ35" s="231"/>
      <c r="CAK35" s="229"/>
      <c r="CAL35" s="230"/>
      <c r="CAM35" s="231"/>
      <c r="CAN35" s="232"/>
      <c r="CAO35" s="233"/>
      <c r="CAP35" s="233"/>
      <c r="CAQ35" s="233"/>
      <c r="CAR35" s="233"/>
      <c r="CAS35" s="233"/>
      <c r="CAT35" s="233"/>
      <c r="CAU35" s="231"/>
      <c r="CAV35" s="231"/>
      <c r="CAW35" s="229"/>
      <c r="CAX35" s="230"/>
      <c r="CAY35" s="231"/>
      <c r="CAZ35" s="232"/>
      <c r="CBA35" s="233"/>
      <c r="CBB35" s="233"/>
      <c r="CBC35" s="233"/>
      <c r="CBD35" s="233"/>
      <c r="CBE35" s="233"/>
      <c r="CBF35" s="233"/>
      <c r="CBG35" s="231"/>
      <c r="CBH35" s="231"/>
      <c r="CBI35" s="229"/>
      <c r="CBJ35" s="230"/>
      <c r="CBK35" s="231"/>
      <c r="CBL35" s="232"/>
      <c r="CBM35" s="233"/>
      <c r="CBN35" s="233"/>
      <c r="CBO35" s="233"/>
      <c r="CBP35" s="233"/>
      <c r="CBQ35" s="233"/>
      <c r="CBR35" s="233"/>
      <c r="CBS35" s="231"/>
      <c r="CBT35" s="231"/>
      <c r="CBU35" s="229"/>
      <c r="CBV35" s="230"/>
      <c r="CBW35" s="231"/>
      <c r="CBX35" s="232"/>
      <c r="CBY35" s="233"/>
      <c r="CBZ35" s="233"/>
      <c r="CCA35" s="233"/>
      <c r="CCB35" s="233"/>
      <c r="CCC35" s="233"/>
      <c r="CCD35" s="233"/>
      <c r="CCE35" s="231"/>
      <c r="CCF35" s="231"/>
      <c r="CCG35" s="229"/>
      <c r="CCH35" s="230"/>
      <c r="CCI35" s="231"/>
      <c r="CCJ35" s="232"/>
      <c r="CCK35" s="233"/>
      <c r="CCL35" s="233"/>
      <c r="CCM35" s="233"/>
      <c r="CCN35" s="233"/>
      <c r="CCO35" s="233"/>
      <c r="CCP35" s="233"/>
      <c r="CCQ35" s="231"/>
      <c r="CCR35" s="231"/>
      <c r="CCS35" s="229"/>
      <c r="CCT35" s="230"/>
      <c r="CCU35" s="231"/>
      <c r="CCV35" s="232"/>
      <c r="CCW35" s="233"/>
      <c r="CCX35" s="233"/>
      <c r="CCY35" s="233"/>
      <c r="CCZ35" s="233"/>
      <c r="CDA35" s="233"/>
      <c r="CDB35" s="233"/>
      <c r="CDC35" s="231"/>
      <c r="CDD35" s="231"/>
      <c r="CDE35" s="229"/>
      <c r="CDF35" s="230"/>
      <c r="CDG35" s="231"/>
      <c r="CDH35" s="232"/>
      <c r="CDI35" s="233"/>
      <c r="CDJ35" s="233"/>
      <c r="CDK35" s="233"/>
      <c r="CDL35" s="233"/>
      <c r="CDM35" s="233"/>
      <c r="CDN35" s="233"/>
      <c r="CDO35" s="231"/>
      <c r="CDP35" s="231"/>
      <c r="CDQ35" s="229"/>
      <c r="CDR35" s="230"/>
      <c r="CDS35" s="231"/>
      <c r="CDT35" s="232"/>
      <c r="CDU35" s="233"/>
      <c r="CDV35" s="233"/>
      <c r="CDW35" s="233"/>
      <c r="CDX35" s="233"/>
      <c r="CDY35" s="233"/>
      <c r="CDZ35" s="233"/>
      <c r="CEA35" s="231"/>
      <c r="CEB35" s="231"/>
      <c r="CEC35" s="229"/>
      <c r="CED35" s="230"/>
      <c r="CEE35" s="231"/>
      <c r="CEF35" s="232"/>
      <c r="CEG35" s="233"/>
      <c r="CEH35" s="233"/>
      <c r="CEI35" s="233"/>
      <c r="CEJ35" s="233"/>
      <c r="CEK35" s="233"/>
      <c r="CEL35" s="233"/>
      <c r="CEM35" s="231"/>
      <c r="CEN35" s="231"/>
      <c r="CEO35" s="229"/>
      <c r="CEP35" s="230"/>
      <c r="CEQ35" s="231"/>
      <c r="CER35" s="232"/>
      <c r="CES35" s="233"/>
      <c r="CET35" s="233"/>
      <c r="CEU35" s="233"/>
      <c r="CEV35" s="233"/>
      <c r="CEW35" s="233"/>
      <c r="CEX35" s="233"/>
      <c r="CEY35" s="231"/>
      <c r="CEZ35" s="231"/>
      <c r="CFA35" s="229"/>
      <c r="CFB35" s="230"/>
      <c r="CFC35" s="231"/>
      <c r="CFD35" s="232"/>
      <c r="CFE35" s="233"/>
      <c r="CFF35" s="233"/>
      <c r="CFG35" s="233"/>
      <c r="CFH35" s="233"/>
      <c r="CFI35" s="233"/>
      <c r="CFJ35" s="233"/>
      <c r="CFK35" s="231"/>
      <c r="CFL35" s="231"/>
      <c r="CFM35" s="229"/>
      <c r="CFN35" s="230"/>
      <c r="CFO35" s="231"/>
      <c r="CFP35" s="232"/>
      <c r="CFQ35" s="233"/>
      <c r="CFR35" s="233"/>
      <c r="CFS35" s="233"/>
      <c r="CFT35" s="233"/>
      <c r="CFU35" s="233"/>
      <c r="CFV35" s="233"/>
      <c r="CFW35" s="231"/>
      <c r="CFX35" s="231"/>
      <c r="CFY35" s="229"/>
      <c r="CFZ35" s="230"/>
      <c r="CGA35" s="231"/>
      <c r="CGB35" s="232"/>
      <c r="CGC35" s="233"/>
      <c r="CGD35" s="233"/>
      <c r="CGE35" s="233"/>
      <c r="CGF35" s="233"/>
      <c r="CGG35" s="233"/>
      <c r="CGH35" s="233"/>
      <c r="CGI35" s="231"/>
      <c r="CGJ35" s="231"/>
      <c r="CGK35" s="229"/>
      <c r="CGL35" s="230"/>
      <c r="CGM35" s="231"/>
      <c r="CGN35" s="232"/>
      <c r="CGO35" s="233"/>
      <c r="CGP35" s="233"/>
      <c r="CGQ35" s="233"/>
      <c r="CGR35" s="233"/>
      <c r="CGS35" s="233"/>
      <c r="CGT35" s="233"/>
      <c r="CGU35" s="231"/>
      <c r="CGV35" s="231"/>
      <c r="CGW35" s="229"/>
      <c r="CGX35" s="230"/>
      <c r="CGY35" s="231"/>
      <c r="CGZ35" s="232"/>
      <c r="CHA35" s="233"/>
      <c r="CHB35" s="233"/>
      <c r="CHC35" s="233"/>
      <c r="CHD35" s="233"/>
      <c r="CHE35" s="233"/>
      <c r="CHF35" s="233"/>
      <c r="CHG35" s="231"/>
      <c r="CHH35" s="231"/>
      <c r="CHI35" s="229"/>
      <c r="CHJ35" s="230"/>
      <c r="CHK35" s="231"/>
      <c r="CHL35" s="232"/>
      <c r="CHM35" s="233"/>
      <c r="CHN35" s="233"/>
      <c r="CHO35" s="233"/>
      <c r="CHP35" s="233"/>
      <c r="CHQ35" s="233"/>
      <c r="CHR35" s="233"/>
      <c r="CHS35" s="231"/>
      <c r="CHT35" s="231"/>
      <c r="CHU35" s="229"/>
      <c r="CHV35" s="230"/>
      <c r="CHW35" s="231"/>
      <c r="CHX35" s="232"/>
      <c r="CHY35" s="233"/>
      <c r="CHZ35" s="233"/>
      <c r="CIA35" s="233"/>
      <c r="CIB35" s="233"/>
      <c r="CIC35" s="233"/>
      <c r="CID35" s="233"/>
      <c r="CIE35" s="231"/>
      <c r="CIF35" s="231"/>
      <c r="CIG35" s="229"/>
      <c r="CIH35" s="230"/>
      <c r="CII35" s="231"/>
      <c r="CIJ35" s="232"/>
      <c r="CIK35" s="233"/>
      <c r="CIL35" s="233"/>
      <c r="CIM35" s="233"/>
      <c r="CIN35" s="233"/>
      <c r="CIO35" s="233"/>
      <c r="CIP35" s="233"/>
      <c r="CIQ35" s="231"/>
      <c r="CIR35" s="231"/>
      <c r="CIS35" s="229"/>
      <c r="CIT35" s="230"/>
      <c r="CIU35" s="231"/>
      <c r="CIV35" s="232"/>
      <c r="CIW35" s="233"/>
      <c r="CIX35" s="233"/>
      <c r="CIY35" s="233"/>
      <c r="CIZ35" s="233"/>
      <c r="CJA35" s="233"/>
      <c r="CJB35" s="233"/>
      <c r="CJC35" s="231"/>
      <c r="CJD35" s="231"/>
      <c r="CJE35" s="229"/>
      <c r="CJF35" s="230"/>
      <c r="CJG35" s="231"/>
      <c r="CJH35" s="232"/>
      <c r="CJI35" s="233"/>
      <c r="CJJ35" s="233"/>
      <c r="CJK35" s="233"/>
      <c r="CJL35" s="233"/>
      <c r="CJM35" s="233"/>
      <c r="CJN35" s="233"/>
      <c r="CJO35" s="231"/>
      <c r="CJP35" s="231"/>
      <c r="CJQ35" s="229"/>
      <c r="CJR35" s="230"/>
      <c r="CJS35" s="231"/>
      <c r="CJT35" s="232"/>
      <c r="CJU35" s="233"/>
      <c r="CJV35" s="233"/>
      <c r="CJW35" s="233"/>
      <c r="CJX35" s="233"/>
      <c r="CJY35" s="233"/>
      <c r="CJZ35" s="233"/>
      <c r="CKA35" s="231"/>
      <c r="CKB35" s="231"/>
      <c r="CKC35" s="229"/>
      <c r="CKD35" s="230"/>
      <c r="CKE35" s="231"/>
      <c r="CKF35" s="232"/>
      <c r="CKG35" s="233"/>
      <c r="CKH35" s="233"/>
      <c r="CKI35" s="233"/>
      <c r="CKJ35" s="233"/>
      <c r="CKK35" s="233"/>
      <c r="CKL35" s="233"/>
      <c r="CKM35" s="231"/>
      <c r="CKN35" s="231"/>
      <c r="CKO35" s="229"/>
      <c r="CKP35" s="230"/>
      <c r="CKQ35" s="231"/>
      <c r="CKR35" s="232"/>
      <c r="CKS35" s="233"/>
      <c r="CKT35" s="233"/>
      <c r="CKU35" s="233"/>
      <c r="CKV35" s="233"/>
      <c r="CKW35" s="233"/>
      <c r="CKX35" s="233"/>
      <c r="CKY35" s="231"/>
      <c r="CKZ35" s="231"/>
      <c r="CLA35" s="229"/>
      <c r="CLB35" s="230"/>
      <c r="CLC35" s="231"/>
      <c r="CLD35" s="232"/>
      <c r="CLE35" s="233"/>
      <c r="CLF35" s="233"/>
      <c r="CLG35" s="233"/>
      <c r="CLH35" s="233"/>
      <c r="CLI35" s="233"/>
      <c r="CLJ35" s="233"/>
      <c r="CLK35" s="231"/>
      <c r="CLL35" s="231"/>
      <c r="CLM35" s="229"/>
      <c r="CLN35" s="230"/>
      <c r="CLO35" s="231"/>
      <c r="CLP35" s="232"/>
      <c r="CLQ35" s="233"/>
      <c r="CLR35" s="233"/>
      <c r="CLS35" s="233"/>
      <c r="CLT35" s="233"/>
      <c r="CLU35" s="233"/>
      <c r="CLV35" s="233"/>
      <c r="CLW35" s="231"/>
      <c r="CLX35" s="231"/>
      <c r="CLY35" s="229"/>
      <c r="CLZ35" s="230"/>
      <c r="CMA35" s="231"/>
      <c r="CMB35" s="232"/>
      <c r="CMC35" s="233"/>
      <c r="CMD35" s="233"/>
      <c r="CME35" s="233"/>
      <c r="CMF35" s="233"/>
      <c r="CMG35" s="233"/>
      <c r="CMH35" s="233"/>
      <c r="CMI35" s="231"/>
      <c r="CMJ35" s="231"/>
      <c r="CMK35" s="229"/>
      <c r="CML35" s="230"/>
      <c r="CMM35" s="231"/>
      <c r="CMN35" s="232"/>
      <c r="CMO35" s="233"/>
      <c r="CMP35" s="233"/>
      <c r="CMQ35" s="233"/>
      <c r="CMR35" s="233"/>
      <c r="CMS35" s="233"/>
      <c r="CMT35" s="233"/>
      <c r="CMU35" s="231"/>
      <c r="CMV35" s="231"/>
      <c r="CMW35" s="229"/>
      <c r="CMX35" s="230"/>
      <c r="CMY35" s="231"/>
      <c r="CMZ35" s="232"/>
      <c r="CNA35" s="233"/>
      <c r="CNB35" s="233"/>
      <c r="CNC35" s="233"/>
      <c r="CND35" s="233"/>
      <c r="CNE35" s="233"/>
      <c r="CNF35" s="233"/>
      <c r="CNG35" s="231"/>
      <c r="CNH35" s="231"/>
      <c r="CNI35" s="229"/>
      <c r="CNJ35" s="230"/>
      <c r="CNK35" s="231"/>
      <c r="CNL35" s="232"/>
      <c r="CNM35" s="233"/>
      <c r="CNN35" s="233"/>
      <c r="CNO35" s="233"/>
      <c r="CNP35" s="233"/>
      <c r="CNQ35" s="233"/>
      <c r="CNR35" s="233"/>
      <c r="CNS35" s="231"/>
      <c r="CNT35" s="231"/>
      <c r="CNU35" s="229"/>
      <c r="CNV35" s="230"/>
      <c r="CNW35" s="231"/>
      <c r="CNX35" s="232"/>
      <c r="CNY35" s="233"/>
      <c r="CNZ35" s="233"/>
      <c r="COA35" s="233"/>
      <c r="COB35" s="233"/>
      <c r="COC35" s="233"/>
      <c r="COD35" s="233"/>
      <c r="COE35" s="231"/>
      <c r="COF35" s="231"/>
      <c r="COG35" s="229"/>
      <c r="COH35" s="230"/>
      <c r="COI35" s="231"/>
      <c r="COJ35" s="232"/>
      <c r="COK35" s="233"/>
      <c r="COL35" s="233"/>
      <c r="COM35" s="233"/>
      <c r="CON35" s="233"/>
      <c r="COO35" s="233"/>
      <c r="COP35" s="233"/>
      <c r="COQ35" s="231"/>
      <c r="COR35" s="231"/>
      <c r="COS35" s="229"/>
      <c r="COT35" s="230"/>
      <c r="COU35" s="231"/>
      <c r="COV35" s="232"/>
      <c r="COW35" s="233"/>
      <c r="COX35" s="233"/>
      <c r="COY35" s="233"/>
      <c r="COZ35" s="233"/>
      <c r="CPA35" s="233"/>
      <c r="CPB35" s="233"/>
      <c r="CPC35" s="231"/>
      <c r="CPD35" s="231"/>
      <c r="CPE35" s="229"/>
      <c r="CPF35" s="230"/>
      <c r="CPG35" s="231"/>
      <c r="CPH35" s="232"/>
      <c r="CPI35" s="233"/>
      <c r="CPJ35" s="233"/>
      <c r="CPK35" s="233"/>
      <c r="CPL35" s="233"/>
      <c r="CPM35" s="233"/>
      <c r="CPN35" s="233"/>
      <c r="CPO35" s="231"/>
      <c r="CPP35" s="231"/>
      <c r="CPQ35" s="229"/>
      <c r="CPR35" s="230"/>
      <c r="CPS35" s="231"/>
      <c r="CPT35" s="232"/>
      <c r="CPU35" s="233"/>
      <c r="CPV35" s="233"/>
      <c r="CPW35" s="233"/>
      <c r="CPX35" s="233"/>
      <c r="CPY35" s="233"/>
      <c r="CPZ35" s="233"/>
      <c r="CQA35" s="231"/>
      <c r="CQB35" s="231"/>
      <c r="CQC35" s="229"/>
      <c r="CQD35" s="230"/>
      <c r="CQE35" s="231"/>
      <c r="CQF35" s="232"/>
      <c r="CQG35" s="233"/>
      <c r="CQH35" s="233"/>
      <c r="CQI35" s="233"/>
      <c r="CQJ35" s="233"/>
      <c r="CQK35" s="233"/>
      <c r="CQL35" s="233"/>
      <c r="CQM35" s="231"/>
      <c r="CQN35" s="231"/>
      <c r="CQO35" s="229"/>
      <c r="CQP35" s="230"/>
      <c r="CQQ35" s="231"/>
      <c r="CQR35" s="232"/>
      <c r="CQS35" s="233"/>
      <c r="CQT35" s="233"/>
      <c r="CQU35" s="233"/>
      <c r="CQV35" s="233"/>
      <c r="CQW35" s="233"/>
      <c r="CQX35" s="233"/>
      <c r="CQY35" s="231"/>
      <c r="CQZ35" s="231"/>
      <c r="CRA35" s="229"/>
      <c r="CRB35" s="230"/>
      <c r="CRC35" s="231"/>
      <c r="CRD35" s="232"/>
      <c r="CRE35" s="233"/>
      <c r="CRF35" s="233"/>
      <c r="CRG35" s="233"/>
      <c r="CRH35" s="233"/>
      <c r="CRI35" s="233"/>
      <c r="CRJ35" s="233"/>
      <c r="CRK35" s="231"/>
      <c r="CRL35" s="231"/>
      <c r="CRM35" s="229"/>
      <c r="CRN35" s="230"/>
      <c r="CRO35" s="231"/>
      <c r="CRP35" s="232"/>
      <c r="CRQ35" s="233"/>
      <c r="CRR35" s="233"/>
      <c r="CRS35" s="233"/>
      <c r="CRT35" s="233"/>
      <c r="CRU35" s="233"/>
      <c r="CRV35" s="233"/>
      <c r="CRW35" s="231"/>
      <c r="CRX35" s="231"/>
      <c r="CRY35" s="229"/>
      <c r="CRZ35" s="230"/>
      <c r="CSA35" s="231"/>
      <c r="CSB35" s="232"/>
      <c r="CSC35" s="233"/>
      <c r="CSD35" s="233"/>
      <c r="CSE35" s="233"/>
      <c r="CSF35" s="233"/>
      <c r="CSG35" s="233"/>
      <c r="CSH35" s="233"/>
      <c r="CSI35" s="231"/>
      <c r="CSJ35" s="231"/>
      <c r="CSK35" s="229"/>
      <c r="CSL35" s="230"/>
      <c r="CSM35" s="231"/>
      <c r="CSN35" s="232"/>
      <c r="CSO35" s="233"/>
      <c r="CSP35" s="233"/>
      <c r="CSQ35" s="233"/>
      <c r="CSR35" s="233"/>
      <c r="CSS35" s="233"/>
      <c r="CST35" s="233"/>
      <c r="CSU35" s="231"/>
      <c r="CSV35" s="231"/>
      <c r="CSW35" s="229"/>
      <c r="CSX35" s="230"/>
      <c r="CSY35" s="231"/>
      <c r="CSZ35" s="232"/>
      <c r="CTA35" s="233"/>
      <c r="CTB35" s="233"/>
      <c r="CTC35" s="233"/>
      <c r="CTD35" s="233"/>
      <c r="CTE35" s="233"/>
      <c r="CTF35" s="233"/>
      <c r="CTG35" s="231"/>
      <c r="CTH35" s="231"/>
      <c r="CTI35" s="229"/>
      <c r="CTJ35" s="230"/>
      <c r="CTK35" s="231"/>
      <c r="CTL35" s="232"/>
      <c r="CTM35" s="233"/>
      <c r="CTN35" s="233"/>
      <c r="CTO35" s="233"/>
      <c r="CTP35" s="233"/>
      <c r="CTQ35" s="233"/>
      <c r="CTR35" s="233"/>
      <c r="CTS35" s="231"/>
      <c r="CTT35" s="231"/>
      <c r="CTU35" s="229"/>
      <c r="CTV35" s="230"/>
      <c r="CTW35" s="231"/>
      <c r="CTX35" s="232"/>
      <c r="CTY35" s="233"/>
      <c r="CTZ35" s="233"/>
      <c r="CUA35" s="233"/>
      <c r="CUB35" s="233"/>
      <c r="CUC35" s="233"/>
      <c r="CUD35" s="233"/>
      <c r="CUE35" s="231"/>
      <c r="CUF35" s="231"/>
      <c r="CUG35" s="229"/>
      <c r="CUH35" s="230"/>
      <c r="CUI35" s="231"/>
      <c r="CUJ35" s="232"/>
      <c r="CUK35" s="233"/>
      <c r="CUL35" s="233"/>
      <c r="CUM35" s="233"/>
      <c r="CUN35" s="233"/>
      <c r="CUO35" s="233"/>
      <c r="CUP35" s="233"/>
      <c r="CUQ35" s="231"/>
      <c r="CUR35" s="231"/>
      <c r="CUS35" s="229"/>
      <c r="CUT35" s="230"/>
      <c r="CUU35" s="231"/>
      <c r="CUV35" s="232"/>
      <c r="CUW35" s="233"/>
      <c r="CUX35" s="233"/>
      <c r="CUY35" s="233"/>
      <c r="CUZ35" s="233"/>
      <c r="CVA35" s="233"/>
      <c r="CVB35" s="233"/>
      <c r="CVC35" s="231"/>
      <c r="CVD35" s="231"/>
      <c r="CVE35" s="229"/>
      <c r="CVF35" s="230"/>
      <c r="CVG35" s="231"/>
      <c r="CVH35" s="232"/>
      <c r="CVI35" s="233"/>
      <c r="CVJ35" s="233"/>
      <c r="CVK35" s="233"/>
      <c r="CVL35" s="233"/>
      <c r="CVM35" s="233"/>
      <c r="CVN35" s="233"/>
      <c r="CVO35" s="231"/>
      <c r="CVP35" s="231"/>
      <c r="CVQ35" s="229"/>
      <c r="CVR35" s="230"/>
      <c r="CVS35" s="231"/>
      <c r="CVT35" s="232"/>
      <c r="CVU35" s="233"/>
      <c r="CVV35" s="233"/>
      <c r="CVW35" s="233"/>
      <c r="CVX35" s="233"/>
      <c r="CVY35" s="233"/>
      <c r="CVZ35" s="233"/>
      <c r="CWA35" s="231"/>
      <c r="CWB35" s="231"/>
      <c r="CWC35" s="229"/>
      <c r="CWD35" s="230"/>
      <c r="CWE35" s="231"/>
      <c r="CWF35" s="232"/>
      <c r="CWG35" s="233"/>
      <c r="CWH35" s="233"/>
      <c r="CWI35" s="233"/>
      <c r="CWJ35" s="233"/>
      <c r="CWK35" s="233"/>
      <c r="CWL35" s="233"/>
      <c r="CWM35" s="231"/>
      <c r="CWN35" s="231"/>
      <c r="CWO35" s="229"/>
      <c r="CWP35" s="230"/>
      <c r="CWQ35" s="231"/>
      <c r="CWR35" s="232"/>
      <c r="CWS35" s="233"/>
      <c r="CWT35" s="233"/>
      <c r="CWU35" s="233"/>
      <c r="CWV35" s="233"/>
      <c r="CWW35" s="233"/>
      <c r="CWX35" s="233"/>
      <c r="CWY35" s="231"/>
      <c r="CWZ35" s="231"/>
      <c r="CXA35" s="229"/>
      <c r="CXB35" s="230"/>
      <c r="CXC35" s="231"/>
      <c r="CXD35" s="232"/>
      <c r="CXE35" s="233"/>
      <c r="CXF35" s="233"/>
      <c r="CXG35" s="233"/>
      <c r="CXH35" s="233"/>
      <c r="CXI35" s="233"/>
      <c r="CXJ35" s="233"/>
      <c r="CXK35" s="231"/>
      <c r="CXL35" s="231"/>
      <c r="CXM35" s="229"/>
      <c r="CXN35" s="230"/>
      <c r="CXO35" s="231"/>
      <c r="CXP35" s="232"/>
      <c r="CXQ35" s="233"/>
      <c r="CXR35" s="233"/>
      <c r="CXS35" s="233"/>
      <c r="CXT35" s="233"/>
      <c r="CXU35" s="233"/>
      <c r="CXV35" s="233"/>
      <c r="CXW35" s="231"/>
      <c r="CXX35" s="231"/>
      <c r="CXY35" s="229"/>
      <c r="CXZ35" s="230"/>
      <c r="CYA35" s="231"/>
      <c r="CYB35" s="232"/>
      <c r="CYC35" s="233"/>
      <c r="CYD35" s="233"/>
      <c r="CYE35" s="233"/>
      <c r="CYF35" s="233"/>
      <c r="CYG35" s="233"/>
      <c r="CYH35" s="233"/>
      <c r="CYI35" s="231"/>
      <c r="CYJ35" s="231"/>
      <c r="CYK35" s="229"/>
      <c r="CYL35" s="230"/>
      <c r="CYM35" s="231"/>
      <c r="CYN35" s="232"/>
      <c r="CYO35" s="233"/>
      <c r="CYP35" s="233"/>
      <c r="CYQ35" s="233"/>
      <c r="CYR35" s="233"/>
      <c r="CYS35" s="233"/>
      <c r="CYT35" s="233"/>
      <c r="CYU35" s="231"/>
      <c r="CYV35" s="231"/>
      <c r="CYW35" s="229"/>
      <c r="CYX35" s="230"/>
      <c r="CYY35" s="231"/>
      <c r="CYZ35" s="232"/>
      <c r="CZA35" s="233"/>
      <c r="CZB35" s="233"/>
      <c r="CZC35" s="233"/>
      <c r="CZD35" s="233"/>
      <c r="CZE35" s="233"/>
      <c r="CZF35" s="233"/>
      <c r="CZG35" s="231"/>
      <c r="CZH35" s="231"/>
      <c r="CZI35" s="229"/>
      <c r="CZJ35" s="230"/>
      <c r="CZK35" s="231"/>
      <c r="CZL35" s="232"/>
      <c r="CZM35" s="233"/>
      <c r="CZN35" s="233"/>
      <c r="CZO35" s="233"/>
      <c r="CZP35" s="233"/>
      <c r="CZQ35" s="233"/>
      <c r="CZR35" s="233"/>
      <c r="CZS35" s="231"/>
      <c r="CZT35" s="231"/>
      <c r="CZU35" s="229"/>
      <c r="CZV35" s="230"/>
      <c r="CZW35" s="231"/>
      <c r="CZX35" s="232"/>
      <c r="CZY35" s="233"/>
      <c r="CZZ35" s="233"/>
      <c r="DAA35" s="233"/>
      <c r="DAB35" s="233"/>
      <c r="DAC35" s="233"/>
      <c r="DAD35" s="233"/>
      <c r="DAE35" s="231"/>
      <c r="DAF35" s="231"/>
      <c r="DAG35" s="229"/>
      <c r="DAH35" s="230"/>
      <c r="DAI35" s="231"/>
      <c r="DAJ35" s="232"/>
      <c r="DAK35" s="233"/>
      <c r="DAL35" s="233"/>
      <c r="DAM35" s="233"/>
      <c r="DAN35" s="233"/>
      <c r="DAO35" s="233"/>
      <c r="DAP35" s="233"/>
      <c r="DAQ35" s="231"/>
      <c r="DAR35" s="231"/>
      <c r="DAS35" s="229"/>
      <c r="DAT35" s="230"/>
      <c r="DAU35" s="231"/>
      <c r="DAV35" s="232"/>
      <c r="DAW35" s="233"/>
      <c r="DAX35" s="233"/>
      <c r="DAY35" s="233"/>
      <c r="DAZ35" s="233"/>
      <c r="DBA35" s="233"/>
      <c r="DBB35" s="233"/>
      <c r="DBC35" s="231"/>
      <c r="DBD35" s="231"/>
      <c r="DBE35" s="229"/>
      <c r="DBF35" s="230"/>
      <c r="DBG35" s="231"/>
      <c r="DBH35" s="232"/>
      <c r="DBI35" s="233"/>
      <c r="DBJ35" s="233"/>
      <c r="DBK35" s="233"/>
      <c r="DBL35" s="233"/>
      <c r="DBM35" s="233"/>
      <c r="DBN35" s="233"/>
      <c r="DBO35" s="231"/>
      <c r="DBP35" s="231"/>
      <c r="DBQ35" s="229"/>
      <c r="DBR35" s="230"/>
      <c r="DBS35" s="231"/>
      <c r="DBT35" s="232"/>
      <c r="DBU35" s="233"/>
      <c r="DBV35" s="233"/>
      <c r="DBW35" s="233"/>
      <c r="DBX35" s="233"/>
      <c r="DBY35" s="233"/>
      <c r="DBZ35" s="233"/>
      <c r="DCA35" s="231"/>
      <c r="DCB35" s="231"/>
      <c r="DCC35" s="229"/>
      <c r="DCD35" s="230"/>
      <c r="DCE35" s="231"/>
      <c r="DCF35" s="232"/>
      <c r="DCG35" s="233"/>
      <c r="DCH35" s="233"/>
      <c r="DCI35" s="233"/>
      <c r="DCJ35" s="233"/>
      <c r="DCK35" s="233"/>
      <c r="DCL35" s="233"/>
      <c r="DCM35" s="231"/>
      <c r="DCN35" s="231"/>
      <c r="DCO35" s="229"/>
      <c r="DCP35" s="230"/>
      <c r="DCQ35" s="231"/>
      <c r="DCR35" s="232"/>
      <c r="DCS35" s="233"/>
      <c r="DCT35" s="233"/>
      <c r="DCU35" s="233"/>
      <c r="DCV35" s="233"/>
      <c r="DCW35" s="233"/>
      <c r="DCX35" s="233"/>
      <c r="DCY35" s="231"/>
      <c r="DCZ35" s="231"/>
      <c r="DDA35" s="229"/>
      <c r="DDB35" s="230"/>
      <c r="DDC35" s="231"/>
      <c r="DDD35" s="232"/>
      <c r="DDE35" s="233"/>
      <c r="DDF35" s="233"/>
      <c r="DDG35" s="233"/>
      <c r="DDH35" s="233"/>
      <c r="DDI35" s="233"/>
      <c r="DDJ35" s="233"/>
      <c r="DDK35" s="231"/>
      <c r="DDL35" s="231"/>
      <c r="DDM35" s="229"/>
      <c r="DDN35" s="230"/>
      <c r="DDO35" s="231"/>
      <c r="DDP35" s="232"/>
      <c r="DDQ35" s="233"/>
      <c r="DDR35" s="233"/>
      <c r="DDS35" s="233"/>
      <c r="DDT35" s="233"/>
      <c r="DDU35" s="233"/>
      <c r="DDV35" s="233"/>
      <c r="DDW35" s="231"/>
      <c r="DDX35" s="231"/>
      <c r="DDY35" s="229"/>
      <c r="DDZ35" s="230"/>
      <c r="DEA35" s="231"/>
      <c r="DEB35" s="232"/>
      <c r="DEC35" s="233"/>
      <c r="DED35" s="233"/>
      <c r="DEE35" s="233"/>
      <c r="DEF35" s="233"/>
      <c r="DEG35" s="233"/>
      <c r="DEH35" s="233"/>
      <c r="DEI35" s="231"/>
      <c r="DEJ35" s="231"/>
      <c r="DEK35" s="229"/>
      <c r="DEL35" s="230"/>
      <c r="DEM35" s="231"/>
      <c r="DEN35" s="232"/>
      <c r="DEO35" s="233"/>
      <c r="DEP35" s="233"/>
      <c r="DEQ35" s="233"/>
      <c r="DER35" s="233"/>
      <c r="DES35" s="233"/>
      <c r="DET35" s="233"/>
      <c r="DEU35" s="231"/>
      <c r="DEV35" s="231"/>
      <c r="DEW35" s="229"/>
      <c r="DEX35" s="230"/>
      <c r="DEY35" s="231"/>
      <c r="DEZ35" s="232"/>
      <c r="DFA35" s="233"/>
      <c r="DFB35" s="233"/>
      <c r="DFC35" s="233"/>
      <c r="DFD35" s="233"/>
      <c r="DFE35" s="233"/>
      <c r="DFF35" s="233"/>
      <c r="DFG35" s="231"/>
      <c r="DFH35" s="231"/>
      <c r="DFI35" s="229"/>
      <c r="DFJ35" s="230"/>
      <c r="DFK35" s="231"/>
      <c r="DFL35" s="232"/>
      <c r="DFM35" s="233"/>
      <c r="DFN35" s="233"/>
      <c r="DFO35" s="233"/>
      <c r="DFP35" s="233"/>
      <c r="DFQ35" s="233"/>
      <c r="DFR35" s="233"/>
      <c r="DFS35" s="231"/>
      <c r="DFT35" s="231"/>
      <c r="DFU35" s="229"/>
      <c r="DFV35" s="230"/>
      <c r="DFW35" s="231"/>
      <c r="DFX35" s="232"/>
      <c r="DFY35" s="233"/>
      <c r="DFZ35" s="233"/>
      <c r="DGA35" s="233"/>
      <c r="DGB35" s="233"/>
      <c r="DGC35" s="233"/>
      <c r="DGD35" s="233"/>
      <c r="DGE35" s="231"/>
      <c r="DGF35" s="231"/>
      <c r="DGG35" s="229"/>
      <c r="DGH35" s="230"/>
      <c r="DGI35" s="231"/>
      <c r="DGJ35" s="232"/>
      <c r="DGK35" s="233"/>
      <c r="DGL35" s="233"/>
      <c r="DGM35" s="233"/>
      <c r="DGN35" s="233"/>
      <c r="DGO35" s="233"/>
      <c r="DGP35" s="233"/>
      <c r="DGQ35" s="231"/>
      <c r="DGR35" s="231"/>
      <c r="DGS35" s="229"/>
      <c r="DGT35" s="230"/>
      <c r="DGU35" s="231"/>
      <c r="DGV35" s="232"/>
      <c r="DGW35" s="233"/>
      <c r="DGX35" s="233"/>
      <c r="DGY35" s="233"/>
      <c r="DGZ35" s="233"/>
      <c r="DHA35" s="233"/>
      <c r="DHB35" s="233"/>
      <c r="DHC35" s="231"/>
      <c r="DHD35" s="231"/>
      <c r="DHE35" s="229"/>
      <c r="DHF35" s="230"/>
      <c r="DHG35" s="231"/>
      <c r="DHH35" s="232"/>
      <c r="DHI35" s="233"/>
      <c r="DHJ35" s="233"/>
      <c r="DHK35" s="233"/>
      <c r="DHL35" s="233"/>
      <c r="DHM35" s="233"/>
      <c r="DHN35" s="233"/>
      <c r="DHO35" s="231"/>
      <c r="DHP35" s="231"/>
      <c r="DHQ35" s="229"/>
      <c r="DHR35" s="230"/>
      <c r="DHS35" s="231"/>
      <c r="DHT35" s="232"/>
      <c r="DHU35" s="233"/>
      <c r="DHV35" s="233"/>
      <c r="DHW35" s="233"/>
      <c r="DHX35" s="233"/>
      <c r="DHY35" s="233"/>
      <c r="DHZ35" s="233"/>
      <c r="DIA35" s="231"/>
      <c r="DIB35" s="231"/>
      <c r="DIC35" s="229"/>
      <c r="DID35" s="230"/>
      <c r="DIE35" s="231"/>
      <c r="DIF35" s="232"/>
      <c r="DIG35" s="233"/>
      <c r="DIH35" s="233"/>
      <c r="DII35" s="233"/>
      <c r="DIJ35" s="233"/>
      <c r="DIK35" s="233"/>
      <c r="DIL35" s="233"/>
      <c r="DIM35" s="231"/>
      <c r="DIN35" s="231"/>
      <c r="DIO35" s="229"/>
      <c r="DIP35" s="230"/>
      <c r="DIQ35" s="231"/>
      <c r="DIR35" s="232"/>
      <c r="DIS35" s="233"/>
      <c r="DIT35" s="233"/>
      <c r="DIU35" s="233"/>
      <c r="DIV35" s="233"/>
      <c r="DIW35" s="233"/>
      <c r="DIX35" s="233"/>
      <c r="DIY35" s="231"/>
      <c r="DIZ35" s="231"/>
      <c r="DJA35" s="229"/>
      <c r="DJB35" s="230"/>
      <c r="DJC35" s="231"/>
      <c r="DJD35" s="232"/>
      <c r="DJE35" s="233"/>
      <c r="DJF35" s="233"/>
      <c r="DJG35" s="233"/>
      <c r="DJH35" s="233"/>
      <c r="DJI35" s="233"/>
      <c r="DJJ35" s="233"/>
      <c r="DJK35" s="231"/>
      <c r="DJL35" s="231"/>
      <c r="DJM35" s="229"/>
      <c r="DJN35" s="230"/>
      <c r="DJO35" s="231"/>
      <c r="DJP35" s="232"/>
      <c r="DJQ35" s="233"/>
      <c r="DJR35" s="233"/>
      <c r="DJS35" s="233"/>
      <c r="DJT35" s="233"/>
      <c r="DJU35" s="233"/>
      <c r="DJV35" s="233"/>
      <c r="DJW35" s="231"/>
      <c r="DJX35" s="231"/>
      <c r="DJY35" s="229"/>
      <c r="DJZ35" s="230"/>
      <c r="DKA35" s="231"/>
      <c r="DKB35" s="232"/>
      <c r="DKC35" s="233"/>
      <c r="DKD35" s="233"/>
      <c r="DKE35" s="233"/>
      <c r="DKF35" s="233"/>
      <c r="DKG35" s="233"/>
      <c r="DKH35" s="233"/>
      <c r="DKI35" s="231"/>
      <c r="DKJ35" s="231"/>
      <c r="DKK35" s="229"/>
      <c r="DKL35" s="230"/>
      <c r="DKM35" s="231"/>
      <c r="DKN35" s="232"/>
      <c r="DKO35" s="233"/>
      <c r="DKP35" s="233"/>
      <c r="DKQ35" s="233"/>
      <c r="DKR35" s="233"/>
      <c r="DKS35" s="233"/>
      <c r="DKT35" s="233"/>
      <c r="DKU35" s="231"/>
      <c r="DKV35" s="231"/>
      <c r="DKW35" s="229"/>
      <c r="DKX35" s="230"/>
      <c r="DKY35" s="231"/>
      <c r="DKZ35" s="232"/>
      <c r="DLA35" s="233"/>
      <c r="DLB35" s="233"/>
      <c r="DLC35" s="233"/>
      <c r="DLD35" s="233"/>
      <c r="DLE35" s="233"/>
      <c r="DLF35" s="233"/>
      <c r="DLG35" s="231"/>
      <c r="DLH35" s="231"/>
      <c r="DLI35" s="229"/>
      <c r="DLJ35" s="230"/>
      <c r="DLK35" s="231"/>
      <c r="DLL35" s="232"/>
      <c r="DLM35" s="233"/>
      <c r="DLN35" s="233"/>
      <c r="DLO35" s="233"/>
      <c r="DLP35" s="233"/>
      <c r="DLQ35" s="233"/>
      <c r="DLR35" s="233"/>
      <c r="DLS35" s="231"/>
      <c r="DLT35" s="231"/>
      <c r="DLU35" s="229"/>
      <c r="DLV35" s="230"/>
      <c r="DLW35" s="231"/>
      <c r="DLX35" s="232"/>
      <c r="DLY35" s="233"/>
      <c r="DLZ35" s="233"/>
      <c r="DMA35" s="233"/>
      <c r="DMB35" s="233"/>
      <c r="DMC35" s="233"/>
      <c r="DMD35" s="233"/>
      <c r="DME35" s="231"/>
      <c r="DMF35" s="231"/>
      <c r="DMG35" s="229"/>
      <c r="DMH35" s="230"/>
      <c r="DMI35" s="231"/>
      <c r="DMJ35" s="232"/>
      <c r="DMK35" s="233"/>
      <c r="DML35" s="233"/>
      <c r="DMM35" s="233"/>
      <c r="DMN35" s="233"/>
      <c r="DMO35" s="233"/>
      <c r="DMP35" s="233"/>
      <c r="DMQ35" s="231"/>
      <c r="DMR35" s="231"/>
      <c r="DMS35" s="229"/>
      <c r="DMT35" s="230"/>
      <c r="DMU35" s="231"/>
      <c r="DMV35" s="232"/>
      <c r="DMW35" s="233"/>
      <c r="DMX35" s="233"/>
      <c r="DMY35" s="233"/>
      <c r="DMZ35" s="233"/>
      <c r="DNA35" s="233"/>
      <c r="DNB35" s="233"/>
      <c r="DNC35" s="231"/>
      <c r="DND35" s="231"/>
      <c r="DNE35" s="229"/>
      <c r="DNF35" s="230"/>
      <c r="DNG35" s="231"/>
      <c r="DNH35" s="232"/>
      <c r="DNI35" s="233"/>
      <c r="DNJ35" s="233"/>
      <c r="DNK35" s="233"/>
      <c r="DNL35" s="233"/>
      <c r="DNM35" s="233"/>
      <c r="DNN35" s="233"/>
      <c r="DNO35" s="231"/>
      <c r="DNP35" s="231"/>
      <c r="DNQ35" s="229"/>
      <c r="DNR35" s="230"/>
      <c r="DNS35" s="231"/>
      <c r="DNT35" s="232"/>
      <c r="DNU35" s="233"/>
      <c r="DNV35" s="233"/>
      <c r="DNW35" s="233"/>
      <c r="DNX35" s="233"/>
      <c r="DNY35" s="233"/>
      <c r="DNZ35" s="233"/>
      <c r="DOA35" s="231"/>
      <c r="DOB35" s="231"/>
      <c r="DOC35" s="229"/>
      <c r="DOD35" s="230"/>
      <c r="DOE35" s="231"/>
      <c r="DOF35" s="232"/>
      <c r="DOG35" s="233"/>
      <c r="DOH35" s="233"/>
      <c r="DOI35" s="233"/>
      <c r="DOJ35" s="233"/>
      <c r="DOK35" s="233"/>
      <c r="DOL35" s="233"/>
      <c r="DOM35" s="231"/>
      <c r="DON35" s="231"/>
      <c r="DOO35" s="229"/>
      <c r="DOP35" s="230"/>
      <c r="DOQ35" s="231"/>
      <c r="DOR35" s="232"/>
      <c r="DOS35" s="233"/>
      <c r="DOT35" s="233"/>
      <c r="DOU35" s="233"/>
      <c r="DOV35" s="233"/>
      <c r="DOW35" s="233"/>
      <c r="DOX35" s="233"/>
      <c r="DOY35" s="231"/>
      <c r="DOZ35" s="231"/>
      <c r="DPA35" s="229"/>
      <c r="DPB35" s="230"/>
      <c r="DPC35" s="231"/>
      <c r="DPD35" s="232"/>
      <c r="DPE35" s="233"/>
      <c r="DPF35" s="233"/>
      <c r="DPG35" s="233"/>
      <c r="DPH35" s="233"/>
      <c r="DPI35" s="233"/>
      <c r="DPJ35" s="233"/>
      <c r="DPK35" s="231"/>
      <c r="DPL35" s="231"/>
      <c r="DPM35" s="229"/>
      <c r="DPN35" s="230"/>
      <c r="DPO35" s="231"/>
      <c r="DPP35" s="232"/>
      <c r="DPQ35" s="233"/>
      <c r="DPR35" s="233"/>
      <c r="DPS35" s="233"/>
      <c r="DPT35" s="233"/>
      <c r="DPU35" s="233"/>
      <c r="DPV35" s="233"/>
      <c r="DPW35" s="231"/>
      <c r="DPX35" s="231"/>
      <c r="DPY35" s="229"/>
      <c r="DPZ35" s="230"/>
      <c r="DQA35" s="231"/>
      <c r="DQB35" s="232"/>
      <c r="DQC35" s="233"/>
      <c r="DQD35" s="233"/>
      <c r="DQE35" s="233"/>
      <c r="DQF35" s="233"/>
      <c r="DQG35" s="233"/>
      <c r="DQH35" s="233"/>
      <c r="DQI35" s="231"/>
      <c r="DQJ35" s="231"/>
      <c r="DQK35" s="229"/>
      <c r="DQL35" s="230"/>
      <c r="DQM35" s="231"/>
      <c r="DQN35" s="232"/>
      <c r="DQO35" s="233"/>
      <c r="DQP35" s="233"/>
      <c r="DQQ35" s="233"/>
      <c r="DQR35" s="233"/>
      <c r="DQS35" s="233"/>
      <c r="DQT35" s="233"/>
      <c r="DQU35" s="231"/>
      <c r="DQV35" s="231"/>
      <c r="DQW35" s="229"/>
      <c r="DQX35" s="230"/>
      <c r="DQY35" s="231"/>
      <c r="DQZ35" s="232"/>
      <c r="DRA35" s="233"/>
      <c r="DRB35" s="233"/>
      <c r="DRC35" s="233"/>
      <c r="DRD35" s="233"/>
      <c r="DRE35" s="233"/>
      <c r="DRF35" s="233"/>
      <c r="DRG35" s="231"/>
      <c r="DRH35" s="231"/>
      <c r="DRI35" s="229"/>
      <c r="DRJ35" s="230"/>
      <c r="DRK35" s="231"/>
      <c r="DRL35" s="232"/>
      <c r="DRM35" s="233"/>
      <c r="DRN35" s="233"/>
      <c r="DRO35" s="233"/>
      <c r="DRP35" s="233"/>
      <c r="DRQ35" s="233"/>
      <c r="DRR35" s="233"/>
      <c r="DRS35" s="231"/>
      <c r="DRT35" s="231"/>
      <c r="DRU35" s="229"/>
      <c r="DRV35" s="230"/>
      <c r="DRW35" s="231"/>
      <c r="DRX35" s="232"/>
      <c r="DRY35" s="233"/>
      <c r="DRZ35" s="233"/>
      <c r="DSA35" s="233"/>
      <c r="DSB35" s="233"/>
      <c r="DSC35" s="233"/>
      <c r="DSD35" s="233"/>
      <c r="DSE35" s="231"/>
      <c r="DSF35" s="231"/>
      <c r="DSG35" s="229"/>
      <c r="DSH35" s="230"/>
      <c r="DSI35" s="231"/>
      <c r="DSJ35" s="232"/>
      <c r="DSK35" s="233"/>
      <c r="DSL35" s="233"/>
      <c r="DSM35" s="233"/>
      <c r="DSN35" s="233"/>
      <c r="DSO35" s="233"/>
      <c r="DSP35" s="233"/>
      <c r="DSQ35" s="231"/>
      <c r="DSR35" s="231"/>
      <c r="DSS35" s="229"/>
      <c r="DST35" s="230"/>
      <c r="DSU35" s="231"/>
      <c r="DSV35" s="232"/>
      <c r="DSW35" s="233"/>
      <c r="DSX35" s="233"/>
      <c r="DSY35" s="233"/>
      <c r="DSZ35" s="233"/>
      <c r="DTA35" s="233"/>
      <c r="DTB35" s="233"/>
      <c r="DTC35" s="231"/>
      <c r="DTD35" s="231"/>
      <c r="DTE35" s="229"/>
      <c r="DTF35" s="230"/>
      <c r="DTG35" s="231"/>
      <c r="DTH35" s="232"/>
      <c r="DTI35" s="233"/>
      <c r="DTJ35" s="233"/>
      <c r="DTK35" s="233"/>
      <c r="DTL35" s="233"/>
      <c r="DTM35" s="233"/>
      <c r="DTN35" s="233"/>
      <c r="DTO35" s="231"/>
      <c r="DTP35" s="231"/>
      <c r="DTQ35" s="229"/>
      <c r="DTR35" s="230"/>
      <c r="DTS35" s="231"/>
      <c r="DTT35" s="232"/>
      <c r="DTU35" s="233"/>
      <c r="DTV35" s="233"/>
      <c r="DTW35" s="233"/>
      <c r="DTX35" s="233"/>
      <c r="DTY35" s="233"/>
      <c r="DTZ35" s="233"/>
      <c r="DUA35" s="231"/>
      <c r="DUB35" s="231"/>
      <c r="DUC35" s="229"/>
      <c r="DUD35" s="230"/>
      <c r="DUE35" s="231"/>
      <c r="DUF35" s="232"/>
      <c r="DUG35" s="233"/>
      <c r="DUH35" s="233"/>
      <c r="DUI35" s="233"/>
      <c r="DUJ35" s="233"/>
      <c r="DUK35" s="233"/>
      <c r="DUL35" s="233"/>
      <c r="DUM35" s="231"/>
      <c r="DUN35" s="231"/>
      <c r="DUO35" s="229"/>
      <c r="DUP35" s="230"/>
      <c r="DUQ35" s="231"/>
      <c r="DUR35" s="232"/>
      <c r="DUS35" s="233"/>
      <c r="DUT35" s="233"/>
      <c r="DUU35" s="233"/>
      <c r="DUV35" s="233"/>
      <c r="DUW35" s="233"/>
      <c r="DUX35" s="233"/>
      <c r="DUY35" s="231"/>
      <c r="DUZ35" s="231"/>
      <c r="DVA35" s="229"/>
      <c r="DVB35" s="230"/>
      <c r="DVC35" s="231"/>
      <c r="DVD35" s="232"/>
      <c r="DVE35" s="233"/>
      <c r="DVF35" s="233"/>
      <c r="DVG35" s="233"/>
      <c r="DVH35" s="233"/>
      <c r="DVI35" s="233"/>
      <c r="DVJ35" s="233"/>
      <c r="DVK35" s="231"/>
      <c r="DVL35" s="231"/>
      <c r="DVM35" s="229"/>
      <c r="DVN35" s="230"/>
      <c r="DVO35" s="231"/>
      <c r="DVP35" s="232"/>
      <c r="DVQ35" s="233"/>
      <c r="DVR35" s="233"/>
      <c r="DVS35" s="233"/>
      <c r="DVT35" s="233"/>
      <c r="DVU35" s="233"/>
      <c r="DVV35" s="233"/>
      <c r="DVW35" s="231"/>
      <c r="DVX35" s="231"/>
      <c r="DVY35" s="229"/>
      <c r="DVZ35" s="230"/>
      <c r="DWA35" s="231"/>
      <c r="DWB35" s="232"/>
      <c r="DWC35" s="233"/>
      <c r="DWD35" s="233"/>
      <c r="DWE35" s="233"/>
      <c r="DWF35" s="233"/>
      <c r="DWG35" s="233"/>
      <c r="DWH35" s="233"/>
      <c r="DWI35" s="231"/>
      <c r="DWJ35" s="231"/>
      <c r="DWK35" s="229"/>
      <c r="DWL35" s="230"/>
      <c r="DWM35" s="231"/>
      <c r="DWN35" s="232"/>
      <c r="DWO35" s="233"/>
      <c r="DWP35" s="233"/>
      <c r="DWQ35" s="233"/>
      <c r="DWR35" s="233"/>
      <c r="DWS35" s="233"/>
      <c r="DWT35" s="233"/>
      <c r="DWU35" s="231"/>
      <c r="DWV35" s="231"/>
      <c r="DWW35" s="229"/>
      <c r="DWX35" s="230"/>
      <c r="DWY35" s="231"/>
      <c r="DWZ35" s="232"/>
      <c r="DXA35" s="233"/>
      <c r="DXB35" s="233"/>
      <c r="DXC35" s="233"/>
      <c r="DXD35" s="233"/>
      <c r="DXE35" s="233"/>
      <c r="DXF35" s="233"/>
      <c r="DXG35" s="231"/>
      <c r="DXH35" s="231"/>
      <c r="DXI35" s="229"/>
      <c r="DXJ35" s="230"/>
      <c r="DXK35" s="231"/>
      <c r="DXL35" s="232"/>
      <c r="DXM35" s="233"/>
      <c r="DXN35" s="233"/>
      <c r="DXO35" s="233"/>
      <c r="DXP35" s="233"/>
      <c r="DXQ35" s="233"/>
      <c r="DXR35" s="233"/>
      <c r="DXS35" s="231"/>
      <c r="DXT35" s="231"/>
      <c r="DXU35" s="229"/>
      <c r="DXV35" s="230"/>
      <c r="DXW35" s="231"/>
      <c r="DXX35" s="232"/>
      <c r="DXY35" s="233"/>
      <c r="DXZ35" s="233"/>
      <c r="DYA35" s="233"/>
      <c r="DYB35" s="233"/>
      <c r="DYC35" s="233"/>
      <c r="DYD35" s="233"/>
      <c r="DYE35" s="231"/>
      <c r="DYF35" s="231"/>
      <c r="DYG35" s="229"/>
      <c r="DYH35" s="230"/>
      <c r="DYI35" s="231"/>
      <c r="DYJ35" s="232"/>
      <c r="DYK35" s="233"/>
      <c r="DYL35" s="233"/>
      <c r="DYM35" s="233"/>
      <c r="DYN35" s="233"/>
      <c r="DYO35" s="233"/>
      <c r="DYP35" s="233"/>
      <c r="DYQ35" s="231"/>
      <c r="DYR35" s="231"/>
      <c r="DYS35" s="229"/>
      <c r="DYT35" s="230"/>
      <c r="DYU35" s="231"/>
      <c r="DYV35" s="232"/>
      <c r="DYW35" s="233"/>
      <c r="DYX35" s="233"/>
      <c r="DYY35" s="233"/>
      <c r="DYZ35" s="233"/>
      <c r="DZA35" s="233"/>
      <c r="DZB35" s="233"/>
      <c r="DZC35" s="231"/>
      <c r="DZD35" s="231"/>
      <c r="DZE35" s="229"/>
      <c r="DZF35" s="230"/>
      <c r="DZG35" s="231"/>
      <c r="DZH35" s="232"/>
      <c r="DZI35" s="233"/>
      <c r="DZJ35" s="233"/>
      <c r="DZK35" s="233"/>
      <c r="DZL35" s="233"/>
      <c r="DZM35" s="233"/>
      <c r="DZN35" s="233"/>
      <c r="DZO35" s="231"/>
      <c r="DZP35" s="231"/>
      <c r="DZQ35" s="229"/>
      <c r="DZR35" s="230"/>
      <c r="DZS35" s="231"/>
      <c r="DZT35" s="232"/>
      <c r="DZU35" s="233"/>
      <c r="DZV35" s="233"/>
      <c r="DZW35" s="233"/>
      <c r="DZX35" s="233"/>
      <c r="DZY35" s="233"/>
      <c r="DZZ35" s="233"/>
      <c r="EAA35" s="231"/>
      <c r="EAB35" s="231"/>
      <c r="EAC35" s="229"/>
      <c r="EAD35" s="230"/>
      <c r="EAE35" s="231"/>
      <c r="EAF35" s="232"/>
      <c r="EAG35" s="233"/>
      <c r="EAH35" s="233"/>
      <c r="EAI35" s="233"/>
      <c r="EAJ35" s="233"/>
      <c r="EAK35" s="233"/>
      <c r="EAL35" s="233"/>
      <c r="EAM35" s="231"/>
      <c r="EAN35" s="231"/>
      <c r="EAO35" s="229"/>
      <c r="EAP35" s="230"/>
      <c r="EAQ35" s="231"/>
      <c r="EAR35" s="232"/>
      <c r="EAS35" s="233"/>
      <c r="EAT35" s="233"/>
      <c r="EAU35" s="233"/>
      <c r="EAV35" s="233"/>
      <c r="EAW35" s="233"/>
      <c r="EAX35" s="233"/>
      <c r="EAY35" s="231"/>
      <c r="EAZ35" s="231"/>
      <c r="EBA35" s="229"/>
      <c r="EBB35" s="230"/>
      <c r="EBC35" s="231"/>
      <c r="EBD35" s="232"/>
      <c r="EBE35" s="233"/>
      <c r="EBF35" s="233"/>
      <c r="EBG35" s="233"/>
      <c r="EBH35" s="233"/>
      <c r="EBI35" s="233"/>
      <c r="EBJ35" s="233"/>
      <c r="EBK35" s="231"/>
      <c r="EBL35" s="231"/>
      <c r="EBM35" s="229"/>
      <c r="EBN35" s="230"/>
      <c r="EBO35" s="231"/>
      <c r="EBP35" s="232"/>
      <c r="EBQ35" s="233"/>
      <c r="EBR35" s="233"/>
      <c r="EBS35" s="233"/>
      <c r="EBT35" s="233"/>
      <c r="EBU35" s="233"/>
      <c r="EBV35" s="233"/>
      <c r="EBW35" s="231"/>
      <c r="EBX35" s="231"/>
      <c r="EBY35" s="229"/>
      <c r="EBZ35" s="230"/>
      <c r="ECA35" s="231"/>
      <c r="ECB35" s="232"/>
      <c r="ECC35" s="233"/>
      <c r="ECD35" s="233"/>
      <c r="ECE35" s="233"/>
      <c r="ECF35" s="233"/>
      <c r="ECG35" s="233"/>
      <c r="ECH35" s="233"/>
      <c r="ECI35" s="231"/>
      <c r="ECJ35" s="231"/>
      <c r="ECK35" s="229"/>
      <c r="ECL35" s="230"/>
      <c r="ECM35" s="231"/>
      <c r="ECN35" s="232"/>
      <c r="ECO35" s="233"/>
      <c r="ECP35" s="233"/>
      <c r="ECQ35" s="233"/>
      <c r="ECR35" s="233"/>
      <c r="ECS35" s="233"/>
      <c r="ECT35" s="233"/>
      <c r="ECU35" s="231"/>
      <c r="ECV35" s="231"/>
      <c r="ECW35" s="229"/>
      <c r="ECX35" s="230"/>
      <c r="ECY35" s="231"/>
      <c r="ECZ35" s="232"/>
      <c r="EDA35" s="233"/>
      <c r="EDB35" s="233"/>
      <c r="EDC35" s="233"/>
      <c r="EDD35" s="233"/>
      <c r="EDE35" s="233"/>
      <c r="EDF35" s="233"/>
      <c r="EDG35" s="231"/>
      <c r="EDH35" s="231"/>
      <c r="EDI35" s="229"/>
      <c r="EDJ35" s="230"/>
      <c r="EDK35" s="231"/>
      <c r="EDL35" s="232"/>
      <c r="EDM35" s="233"/>
      <c r="EDN35" s="233"/>
      <c r="EDO35" s="233"/>
      <c r="EDP35" s="233"/>
      <c r="EDQ35" s="233"/>
      <c r="EDR35" s="233"/>
      <c r="EDS35" s="231"/>
      <c r="EDT35" s="231"/>
      <c r="EDU35" s="229"/>
      <c r="EDV35" s="230"/>
      <c r="EDW35" s="231"/>
      <c r="EDX35" s="232"/>
      <c r="EDY35" s="233"/>
      <c r="EDZ35" s="233"/>
      <c r="EEA35" s="233"/>
      <c r="EEB35" s="233"/>
      <c r="EEC35" s="233"/>
      <c r="EED35" s="233"/>
      <c r="EEE35" s="231"/>
      <c r="EEF35" s="231"/>
      <c r="EEG35" s="229"/>
      <c r="EEH35" s="230"/>
      <c r="EEI35" s="231"/>
      <c r="EEJ35" s="232"/>
      <c r="EEK35" s="233"/>
      <c r="EEL35" s="233"/>
      <c r="EEM35" s="233"/>
      <c r="EEN35" s="233"/>
      <c r="EEO35" s="233"/>
      <c r="EEP35" s="233"/>
      <c r="EEQ35" s="231"/>
      <c r="EER35" s="231"/>
      <c r="EES35" s="229"/>
      <c r="EET35" s="230"/>
      <c r="EEU35" s="231"/>
      <c r="EEV35" s="232"/>
      <c r="EEW35" s="233"/>
      <c r="EEX35" s="233"/>
      <c r="EEY35" s="233"/>
      <c r="EEZ35" s="233"/>
      <c r="EFA35" s="233"/>
      <c r="EFB35" s="233"/>
      <c r="EFC35" s="231"/>
      <c r="EFD35" s="231"/>
      <c r="EFE35" s="229"/>
      <c r="EFF35" s="230"/>
      <c r="EFG35" s="231"/>
      <c r="EFH35" s="232"/>
      <c r="EFI35" s="233"/>
      <c r="EFJ35" s="233"/>
      <c r="EFK35" s="233"/>
      <c r="EFL35" s="233"/>
      <c r="EFM35" s="233"/>
      <c r="EFN35" s="233"/>
      <c r="EFO35" s="231"/>
      <c r="EFP35" s="231"/>
      <c r="EFQ35" s="229"/>
      <c r="EFR35" s="230"/>
      <c r="EFS35" s="231"/>
      <c r="EFT35" s="232"/>
      <c r="EFU35" s="233"/>
      <c r="EFV35" s="233"/>
      <c r="EFW35" s="233"/>
      <c r="EFX35" s="233"/>
      <c r="EFY35" s="233"/>
      <c r="EFZ35" s="233"/>
      <c r="EGA35" s="231"/>
      <c r="EGB35" s="231"/>
      <c r="EGC35" s="229"/>
      <c r="EGD35" s="230"/>
      <c r="EGE35" s="231"/>
      <c r="EGF35" s="232"/>
      <c r="EGG35" s="233"/>
      <c r="EGH35" s="233"/>
      <c r="EGI35" s="233"/>
      <c r="EGJ35" s="233"/>
      <c r="EGK35" s="233"/>
      <c r="EGL35" s="233"/>
      <c r="EGM35" s="231"/>
      <c r="EGN35" s="231"/>
      <c r="EGO35" s="229"/>
      <c r="EGP35" s="230"/>
      <c r="EGQ35" s="231"/>
      <c r="EGR35" s="232"/>
      <c r="EGS35" s="233"/>
      <c r="EGT35" s="233"/>
      <c r="EGU35" s="233"/>
      <c r="EGV35" s="233"/>
      <c r="EGW35" s="233"/>
      <c r="EGX35" s="233"/>
      <c r="EGY35" s="231"/>
      <c r="EGZ35" s="231"/>
      <c r="EHA35" s="229"/>
      <c r="EHB35" s="230"/>
      <c r="EHC35" s="231"/>
      <c r="EHD35" s="232"/>
      <c r="EHE35" s="233"/>
      <c r="EHF35" s="233"/>
      <c r="EHG35" s="233"/>
      <c r="EHH35" s="233"/>
      <c r="EHI35" s="233"/>
      <c r="EHJ35" s="233"/>
      <c r="EHK35" s="231"/>
      <c r="EHL35" s="231"/>
      <c r="EHM35" s="229"/>
      <c r="EHN35" s="230"/>
      <c r="EHO35" s="231"/>
      <c r="EHP35" s="232"/>
      <c r="EHQ35" s="233"/>
      <c r="EHR35" s="233"/>
      <c r="EHS35" s="233"/>
      <c r="EHT35" s="233"/>
      <c r="EHU35" s="233"/>
      <c r="EHV35" s="233"/>
      <c r="EHW35" s="231"/>
      <c r="EHX35" s="231"/>
      <c r="EHY35" s="229"/>
      <c r="EHZ35" s="230"/>
      <c r="EIA35" s="231"/>
      <c r="EIB35" s="232"/>
      <c r="EIC35" s="233"/>
      <c r="EID35" s="233"/>
      <c r="EIE35" s="233"/>
      <c r="EIF35" s="233"/>
      <c r="EIG35" s="233"/>
      <c r="EIH35" s="233"/>
      <c r="EII35" s="231"/>
      <c r="EIJ35" s="231"/>
      <c r="EIK35" s="229"/>
      <c r="EIL35" s="230"/>
      <c r="EIM35" s="231"/>
      <c r="EIN35" s="232"/>
      <c r="EIO35" s="233"/>
      <c r="EIP35" s="233"/>
      <c r="EIQ35" s="233"/>
      <c r="EIR35" s="233"/>
      <c r="EIS35" s="233"/>
      <c r="EIT35" s="233"/>
      <c r="EIU35" s="231"/>
      <c r="EIV35" s="231"/>
      <c r="EIW35" s="229"/>
      <c r="EIX35" s="230"/>
      <c r="EIY35" s="231"/>
      <c r="EIZ35" s="232"/>
      <c r="EJA35" s="233"/>
      <c r="EJB35" s="233"/>
      <c r="EJC35" s="233"/>
      <c r="EJD35" s="233"/>
      <c r="EJE35" s="233"/>
      <c r="EJF35" s="233"/>
      <c r="EJG35" s="231"/>
      <c r="EJH35" s="231"/>
      <c r="EJI35" s="229"/>
      <c r="EJJ35" s="230"/>
      <c r="EJK35" s="231"/>
      <c r="EJL35" s="232"/>
      <c r="EJM35" s="233"/>
      <c r="EJN35" s="233"/>
      <c r="EJO35" s="233"/>
      <c r="EJP35" s="233"/>
      <c r="EJQ35" s="233"/>
      <c r="EJR35" s="233"/>
      <c r="EJS35" s="231"/>
      <c r="EJT35" s="231"/>
      <c r="EJU35" s="229"/>
      <c r="EJV35" s="230"/>
      <c r="EJW35" s="231"/>
      <c r="EJX35" s="232"/>
      <c r="EJY35" s="233"/>
      <c r="EJZ35" s="233"/>
      <c r="EKA35" s="233"/>
      <c r="EKB35" s="233"/>
      <c r="EKC35" s="233"/>
      <c r="EKD35" s="233"/>
      <c r="EKE35" s="231"/>
      <c r="EKF35" s="231"/>
      <c r="EKG35" s="229"/>
      <c r="EKH35" s="230"/>
      <c r="EKI35" s="231"/>
      <c r="EKJ35" s="232"/>
      <c r="EKK35" s="233"/>
      <c r="EKL35" s="233"/>
      <c r="EKM35" s="233"/>
      <c r="EKN35" s="233"/>
      <c r="EKO35" s="233"/>
      <c r="EKP35" s="233"/>
      <c r="EKQ35" s="231"/>
      <c r="EKR35" s="231"/>
      <c r="EKS35" s="229"/>
      <c r="EKT35" s="230"/>
      <c r="EKU35" s="231"/>
      <c r="EKV35" s="232"/>
      <c r="EKW35" s="233"/>
      <c r="EKX35" s="233"/>
      <c r="EKY35" s="233"/>
      <c r="EKZ35" s="233"/>
      <c r="ELA35" s="233"/>
      <c r="ELB35" s="233"/>
      <c r="ELC35" s="231"/>
      <c r="ELD35" s="231"/>
      <c r="ELE35" s="229"/>
      <c r="ELF35" s="230"/>
      <c r="ELG35" s="231"/>
      <c r="ELH35" s="232"/>
      <c r="ELI35" s="233"/>
      <c r="ELJ35" s="233"/>
      <c r="ELK35" s="233"/>
      <c r="ELL35" s="233"/>
      <c r="ELM35" s="233"/>
      <c r="ELN35" s="233"/>
      <c r="ELO35" s="231"/>
      <c r="ELP35" s="231"/>
      <c r="ELQ35" s="229"/>
      <c r="ELR35" s="230"/>
      <c r="ELS35" s="231"/>
      <c r="ELT35" s="232"/>
      <c r="ELU35" s="233"/>
      <c r="ELV35" s="233"/>
      <c r="ELW35" s="233"/>
      <c r="ELX35" s="233"/>
      <c r="ELY35" s="233"/>
      <c r="ELZ35" s="233"/>
      <c r="EMA35" s="231"/>
      <c r="EMB35" s="231"/>
      <c r="EMC35" s="229"/>
      <c r="EMD35" s="230"/>
      <c r="EME35" s="231"/>
      <c r="EMF35" s="232"/>
      <c r="EMG35" s="233"/>
      <c r="EMH35" s="233"/>
      <c r="EMI35" s="233"/>
      <c r="EMJ35" s="233"/>
      <c r="EMK35" s="233"/>
      <c r="EML35" s="233"/>
      <c r="EMM35" s="231"/>
      <c r="EMN35" s="231"/>
      <c r="EMO35" s="229"/>
      <c r="EMP35" s="230"/>
      <c r="EMQ35" s="231"/>
      <c r="EMR35" s="232"/>
      <c r="EMS35" s="233"/>
      <c r="EMT35" s="233"/>
      <c r="EMU35" s="233"/>
      <c r="EMV35" s="233"/>
      <c r="EMW35" s="233"/>
      <c r="EMX35" s="233"/>
      <c r="EMY35" s="231"/>
      <c r="EMZ35" s="231"/>
      <c r="ENA35" s="229"/>
      <c r="ENB35" s="230"/>
      <c r="ENC35" s="231"/>
      <c r="END35" s="232"/>
      <c r="ENE35" s="233"/>
      <c r="ENF35" s="233"/>
      <c r="ENG35" s="233"/>
      <c r="ENH35" s="233"/>
      <c r="ENI35" s="233"/>
      <c r="ENJ35" s="233"/>
      <c r="ENK35" s="231"/>
      <c r="ENL35" s="231"/>
      <c r="ENM35" s="229"/>
      <c r="ENN35" s="230"/>
      <c r="ENO35" s="231"/>
      <c r="ENP35" s="232"/>
      <c r="ENQ35" s="233"/>
      <c r="ENR35" s="233"/>
      <c r="ENS35" s="233"/>
      <c r="ENT35" s="233"/>
      <c r="ENU35" s="233"/>
      <c r="ENV35" s="233"/>
      <c r="ENW35" s="231"/>
      <c r="ENX35" s="231"/>
      <c r="ENY35" s="229"/>
      <c r="ENZ35" s="230"/>
      <c r="EOA35" s="231"/>
      <c r="EOB35" s="232"/>
      <c r="EOC35" s="233"/>
      <c r="EOD35" s="233"/>
      <c r="EOE35" s="233"/>
      <c r="EOF35" s="233"/>
      <c r="EOG35" s="233"/>
      <c r="EOH35" s="233"/>
      <c r="EOI35" s="231"/>
      <c r="EOJ35" s="231"/>
      <c r="EOK35" s="229"/>
      <c r="EOL35" s="230"/>
      <c r="EOM35" s="231"/>
      <c r="EON35" s="232"/>
      <c r="EOO35" s="233"/>
      <c r="EOP35" s="233"/>
      <c r="EOQ35" s="233"/>
      <c r="EOR35" s="233"/>
      <c r="EOS35" s="233"/>
      <c r="EOT35" s="233"/>
      <c r="EOU35" s="231"/>
      <c r="EOV35" s="231"/>
      <c r="EOW35" s="229"/>
      <c r="EOX35" s="230"/>
      <c r="EOY35" s="231"/>
      <c r="EOZ35" s="232"/>
      <c r="EPA35" s="233"/>
      <c r="EPB35" s="233"/>
      <c r="EPC35" s="233"/>
      <c r="EPD35" s="233"/>
      <c r="EPE35" s="233"/>
      <c r="EPF35" s="233"/>
      <c r="EPG35" s="231"/>
      <c r="EPH35" s="231"/>
      <c r="EPI35" s="229"/>
      <c r="EPJ35" s="230"/>
      <c r="EPK35" s="231"/>
      <c r="EPL35" s="232"/>
      <c r="EPM35" s="233"/>
      <c r="EPN35" s="233"/>
      <c r="EPO35" s="233"/>
      <c r="EPP35" s="233"/>
      <c r="EPQ35" s="233"/>
      <c r="EPR35" s="233"/>
      <c r="EPS35" s="231"/>
      <c r="EPT35" s="231"/>
      <c r="EPU35" s="229"/>
      <c r="EPV35" s="230"/>
      <c r="EPW35" s="231"/>
      <c r="EPX35" s="232"/>
      <c r="EPY35" s="233"/>
      <c r="EPZ35" s="233"/>
      <c r="EQA35" s="233"/>
      <c r="EQB35" s="233"/>
      <c r="EQC35" s="233"/>
      <c r="EQD35" s="233"/>
      <c r="EQE35" s="231"/>
      <c r="EQF35" s="231"/>
      <c r="EQG35" s="229"/>
      <c r="EQH35" s="230"/>
      <c r="EQI35" s="231"/>
      <c r="EQJ35" s="232"/>
      <c r="EQK35" s="233"/>
      <c r="EQL35" s="233"/>
      <c r="EQM35" s="233"/>
      <c r="EQN35" s="233"/>
      <c r="EQO35" s="233"/>
      <c r="EQP35" s="233"/>
      <c r="EQQ35" s="231"/>
      <c r="EQR35" s="231"/>
      <c r="EQS35" s="229"/>
      <c r="EQT35" s="230"/>
      <c r="EQU35" s="231"/>
      <c r="EQV35" s="232"/>
      <c r="EQW35" s="233"/>
      <c r="EQX35" s="233"/>
      <c r="EQY35" s="233"/>
      <c r="EQZ35" s="233"/>
      <c r="ERA35" s="233"/>
      <c r="ERB35" s="233"/>
      <c r="ERC35" s="231"/>
      <c r="ERD35" s="231"/>
      <c r="ERE35" s="229"/>
      <c r="ERF35" s="230"/>
      <c r="ERG35" s="231"/>
      <c r="ERH35" s="232"/>
      <c r="ERI35" s="233"/>
      <c r="ERJ35" s="233"/>
      <c r="ERK35" s="233"/>
      <c r="ERL35" s="233"/>
      <c r="ERM35" s="233"/>
      <c r="ERN35" s="233"/>
      <c r="ERO35" s="231"/>
      <c r="ERP35" s="231"/>
      <c r="ERQ35" s="229"/>
      <c r="ERR35" s="230"/>
      <c r="ERS35" s="231"/>
      <c r="ERT35" s="232"/>
      <c r="ERU35" s="233"/>
      <c r="ERV35" s="233"/>
      <c r="ERW35" s="233"/>
      <c r="ERX35" s="233"/>
      <c r="ERY35" s="233"/>
      <c r="ERZ35" s="233"/>
      <c r="ESA35" s="231"/>
      <c r="ESB35" s="231"/>
      <c r="ESC35" s="229"/>
      <c r="ESD35" s="230"/>
      <c r="ESE35" s="231"/>
      <c r="ESF35" s="232"/>
      <c r="ESG35" s="233"/>
      <c r="ESH35" s="233"/>
      <c r="ESI35" s="233"/>
      <c r="ESJ35" s="233"/>
      <c r="ESK35" s="233"/>
      <c r="ESL35" s="233"/>
      <c r="ESM35" s="231"/>
      <c r="ESN35" s="231"/>
      <c r="ESO35" s="229"/>
      <c r="ESP35" s="230"/>
      <c r="ESQ35" s="231"/>
      <c r="ESR35" s="232"/>
      <c r="ESS35" s="233"/>
      <c r="EST35" s="233"/>
      <c r="ESU35" s="233"/>
      <c r="ESV35" s="233"/>
      <c r="ESW35" s="233"/>
      <c r="ESX35" s="233"/>
      <c r="ESY35" s="231"/>
      <c r="ESZ35" s="231"/>
      <c r="ETA35" s="229"/>
      <c r="ETB35" s="230"/>
      <c r="ETC35" s="231"/>
      <c r="ETD35" s="232"/>
      <c r="ETE35" s="233"/>
      <c r="ETF35" s="233"/>
      <c r="ETG35" s="233"/>
      <c r="ETH35" s="233"/>
      <c r="ETI35" s="233"/>
      <c r="ETJ35" s="233"/>
      <c r="ETK35" s="231"/>
      <c r="ETL35" s="231"/>
      <c r="ETM35" s="229"/>
      <c r="ETN35" s="230"/>
      <c r="ETO35" s="231"/>
      <c r="ETP35" s="232"/>
      <c r="ETQ35" s="233"/>
      <c r="ETR35" s="233"/>
      <c r="ETS35" s="233"/>
      <c r="ETT35" s="233"/>
      <c r="ETU35" s="233"/>
      <c r="ETV35" s="233"/>
      <c r="ETW35" s="231"/>
      <c r="ETX35" s="231"/>
      <c r="ETY35" s="229"/>
      <c r="ETZ35" s="230"/>
      <c r="EUA35" s="231"/>
      <c r="EUB35" s="232"/>
      <c r="EUC35" s="233"/>
      <c r="EUD35" s="233"/>
      <c r="EUE35" s="233"/>
      <c r="EUF35" s="233"/>
      <c r="EUG35" s="233"/>
      <c r="EUH35" s="233"/>
      <c r="EUI35" s="231"/>
      <c r="EUJ35" s="231"/>
      <c r="EUK35" s="229"/>
      <c r="EUL35" s="230"/>
      <c r="EUM35" s="231"/>
      <c r="EUN35" s="232"/>
      <c r="EUO35" s="233"/>
      <c r="EUP35" s="233"/>
      <c r="EUQ35" s="233"/>
      <c r="EUR35" s="233"/>
      <c r="EUS35" s="233"/>
      <c r="EUT35" s="233"/>
      <c r="EUU35" s="231"/>
      <c r="EUV35" s="231"/>
      <c r="EUW35" s="229"/>
      <c r="EUX35" s="230"/>
      <c r="EUY35" s="231"/>
      <c r="EUZ35" s="232"/>
      <c r="EVA35" s="233"/>
      <c r="EVB35" s="233"/>
      <c r="EVC35" s="233"/>
      <c r="EVD35" s="233"/>
      <c r="EVE35" s="233"/>
      <c r="EVF35" s="233"/>
      <c r="EVG35" s="231"/>
      <c r="EVH35" s="231"/>
      <c r="EVI35" s="229"/>
      <c r="EVJ35" s="230"/>
      <c r="EVK35" s="231"/>
      <c r="EVL35" s="232"/>
      <c r="EVM35" s="233"/>
      <c r="EVN35" s="233"/>
      <c r="EVO35" s="233"/>
      <c r="EVP35" s="233"/>
      <c r="EVQ35" s="233"/>
      <c r="EVR35" s="233"/>
      <c r="EVS35" s="231"/>
      <c r="EVT35" s="231"/>
      <c r="EVU35" s="229"/>
      <c r="EVV35" s="230"/>
      <c r="EVW35" s="231"/>
      <c r="EVX35" s="232"/>
      <c r="EVY35" s="233"/>
      <c r="EVZ35" s="233"/>
      <c r="EWA35" s="233"/>
      <c r="EWB35" s="233"/>
      <c r="EWC35" s="233"/>
      <c r="EWD35" s="233"/>
      <c r="EWE35" s="231"/>
      <c r="EWF35" s="231"/>
      <c r="EWG35" s="229"/>
      <c r="EWH35" s="230"/>
      <c r="EWI35" s="231"/>
      <c r="EWJ35" s="232"/>
      <c r="EWK35" s="233"/>
      <c r="EWL35" s="233"/>
      <c r="EWM35" s="233"/>
      <c r="EWN35" s="233"/>
      <c r="EWO35" s="233"/>
      <c r="EWP35" s="233"/>
      <c r="EWQ35" s="231"/>
      <c r="EWR35" s="231"/>
      <c r="EWS35" s="229"/>
      <c r="EWT35" s="230"/>
      <c r="EWU35" s="231"/>
      <c r="EWV35" s="232"/>
      <c r="EWW35" s="233"/>
      <c r="EWX35" s="233"/>
      <c r="EWY35" s="233"/>
      <c r="EWZ35" s="233"/>
      <c r="EXA35" s="233"/>
      <c r="EXB35" s="233"/>
      <c r="EXC35" s="231"/>
      <c r="EXD35" s="231"/>
      <c r="EXE35" s="229"/>
      <c r="EXF35" s="230"/>
      <c r="EXG35" s="231"/>
      <c r="EXH35" s="232"/>
      <c r="EXI35" s="233"/>
      <c r="EXJ35" s="233"/>
      <c r="EXK35" s="233"/>
      <c r="EXL35" s="233"/>
      <c r="EXM35" s="233"/>
      <c r="EXN35" s="233"/>
      <c r="EXO35" s="231"/>
      <c r="EXP35" s="231"/>
      <c r="EXQ35" s="229"/>
      <c r="EXR35" s="230"/>
      <c r="EXS35" s="231"/>
      <c r="EXT35" s="232"/>
      <c r="EXU35" s="233"/>
      <c r="EXV35" s="233"/>
      <c r="EXW35" s="233"/>
      <c r="EXX35" s="233"/>
      <c r="EXY35" s="233"/>
      <c r="EXZ35" s="233"/>
      <c r="EYA35" s="231"/>
      <c r="EYB35" s="231"/>
      <c r="EYC35" s="229"/>
      <c r="EYD35" s="230"/>
      <c r="EYE35" s="231"/>
      <c r="EYF35" s="232"/>
      <c r="EYG35" s="233"/>
      <c r="EYH35" s="233"/>
      <c r="EYI35" s="233"/>
      <c r="EYJ35" s="233"/>
      <c r="EYK35" s="233"/>
      <c r="EYL35" s="233"/>
      <c r="EYM35" s="231"/>
      <c r="EYN35" s="231"/>
      <c r="EYO35" s="229"/>
      <c r="EYP35" s="230"/>
      <c r="EYQ35" s="231"/>
      <c r="EYR35" s="232"/>
      <c r="EYS35" s="233"/>
      <c r="EYT35" s="233"/>
      <c r="EYU35" s="233"/>
      <c r="EYV35" s="233"/>
      <c r="EYW35" s="233"/>
      <c r="EYX35" s="233"/>
      <c r="EYY35" s="231"/>
      <c r="EYZ35" s="231"/>
      <c r="EZA35" s="229"/>
      <c r="EZB35" s="230"/>
      <c r="EZC35" s="231"/>
      <c r="EZD35" s="232"/>
      <c r="EZE35" s="233"/>
      <c r="EZF35" s="233"/>
      <c r="EZG35" s="233"/>
      <c r="EZH35" s="233"/>
      <c r="EZI35" s="233"/>
      <c r="EZJ35" s="233"/>
      <c r="EZK35" s="231"/>
      <c r="EZL35" s="231"/>
      <c r="EZM35" s="229"/>
      <c r="EZN35" s="230"/>
      <c r="EZO35" s="231"/>
      <c r="EZP35" s="232"/>
      <c r="EZQ35" s="233"/>
      <c r="EZR35" s="233"/>
      <c r="EZS35" s="233"/>
      <c r="EZT35" s="233"/>
      <c r="EZU35" s="233"/>
      <c r="EZV35" s="233"/>
      <c r="EZW35" s="231"/>
      <c r="EZX35" s="231"/>
      <c r="EZY35" s="229"/>
      <c r="EZZ35" s="230"/>
      <c r="FAA35" s="231"/>
      <c r="FAB35" s="232"/>
      <c r="FAC35" s="233"/>
      <c r="FAD35" s="233"/>
      <c r="FAE35" s="233"/>
      <c r="FAF35" s="233"/>
      <c r="FAG35" s="233"/>
      <c r="FAH35" s="233"/>
      <c r="FAI35" s="231"/>
      <c r="FAJ35" s="231"/>
      <c r="FAK35" s="229"/>
      <c r="FAL35" s="230"/>
      <c r="FAM35" s="231"/>
      <c r="FAN35" s="232"/>
      <c r="FAO35" s="233"/>
      <c r="FAP35" s="233"/>
      <c r="FAQ35" s="233"/>
      <c r="FAR35" s="233"/>
      <c r="FAS35" s="233"/>
      <c r="FAT35" s="233"/>
      <c r="FAU35" s="231"/>
      <c r="FAV35" s="231"/>
      <c r="FAW35" s="229"/>
      <c r="FAX35" s="230"/>
      <c r="FAY35" s="231"/>
      <c r="FAZ35" s="232"/>
      <c r="FBA35" s="233"/>
      <c r="FBB35" s="233"/>
      <c r="FBC35" s="233"/>
      <c r="FBD35" s="233"/>
      <c r="FBE35" s="233"/>
      <c r="FBF35" s="233"/>
      <c r="FBG35" s="231"/>
      <c r="FBH35" s="231"/>
      <c r="FBI35" s="229"/>
      <c r="FBJ35" s="230"/>
      <c r="FBK35" s="231"/>
      <c r="FBL35" s="232"/>
      <c r="FBM35" s="233"/>
      <c r="FBN35" s="233"/>
      <c r="FBO35" s="233"/>
      <c r="FBP35" s="233"/>
      <c r="FBQ35" s="233"/>
      <c r="FBR35" s="233"/>
      <c r="FBS35" s="231"/>
      <c r="FBT35" s="231"/>
      <c r="FBU35" s="229"/>
      <c r="FBV35" s="230"/>
      <c r="FBW35" s="231"/>
      <c r="FBX35" s="232"/>
      <c r="FBY35" s="233"/>
      <c r="FBZ35" s="233"/>
      <c r="FCA35" s="233"/>
      <c r="FCB35" s="233"/>
      <c r="FCC35" s="233"/>
      <c r="FCD35" s="233"/>
      <c r="FCE35" s="231"/>
      <c r="FCF35" s="231"/>
      <c r="FCG35" s="229"/>
      <c r="FCH35" s="230"/>
      <c r="FCI35" s="231"/>
      <c r="FCJ35" s="232"/>
      <c r="FCK35" s="233"/>
      <c r="FCL35" s="233"/>
      <c r="FCM35" s="233"/>
      <c r="FCN35" s="233"/>
      <c r="FCO35" s="233"/>
      <c r="FCP35" s="233"/>
      <c r="FCQ35" s="231"/>
      <c r="FCR35" s="231"/>
      <c r="FCS35" s="229"/>
      <c r="FCT35" s="230"/>
      <c r="FCU35" s="231"/>
      <c r="FCV35" s="232"/>
      <c r="FCW35" s="233"/>
      <c r="FCX35" s="233"/>
      <c r="FCY35" s="233"/>
      <c r="FCZ35" s="233"/>
      <c r="FDA35" s="233"/>
      <c r="FDB35" s="233"/>
      <c r="FDC35" s="231"/>
      <c r="FDD35" s="231"/>
      <c r="FDE35" s="229"/>
      <c r="FDF35" s="230"/>
      <c r="FDG35" s="231"/>
      <c r="FDH35" s="232"/>
      <c r="FDI35" s="233"/>
      <c r="FDJ35" s="233"/>
      <c r="FDK35" s="233"/>
      <c r="FDL35" s="233"/>
      <c r="FDM35" s="233"/>
      <c r="FDN35" s="233"/>
      <c r="FDO35" s="231"/>
      <c r="FDP35" s="231"/>
      <c r="FDQ35" s="229"/>
      <c r="FDR35" s="230"/>
      <c r="FDS35" s="231"/>
      <c r="FDT35" s="232"/>
      <c r="FDU35" s="233"/>
      <c r="FDV35" s="233"/>
      <c r="FDW35" s="233"/>
      <c r="FDX35" s="233"/>
      <c r="FDY35" s="233"/>
      <c r="FDZ35" s="233"/>
      <c r="FEA35" s="231"/>
      <c r="FEB35" s="231"/>
      <c r="FEC35" s="229"/>
      <c r="FED35" s="230"/>
      <c r="FEE35" s="231"/>
      <c r="FEF35" s="232"/>
      <c r="FEG35" s="233"/>
      <c r="FEH35" s="233"/>
      <c r="FEI35" s="233"/>
      <c r="FEJ35" s="233"/>
      <c r="FEK35" s="233"/>
      <c r="FEL35" s="233"/>
      <c r="FEM35" s="231"/>
      <c r="FEN35" s="231"/>
      <c r="FEO35" s="229"/>
      <c r="FEP35" s="230"/>
      <c r="FEQ35" s="231"/>
      <c r="FER35" s="232"/>
      <c r="FES35" s="233"/>
      <c r="FET35" s="233"/>
      <c r="FEU35" s="233"/>
      <c r="FEV35" s="233"/>
      <c r="FEW35" s="233"/>
      <c r="FEX35" s="233"/>
      <c r="FEY35" s="231"/>
      <c r="FEZ35" s="231"/>
      <c r="FFA35" s="229"/>
      <c r="FFB35" s="230"/>
      <c r="FFC35" s="231"/>
      <c r="FFD35" s="232"/>
      <c r="FFE35" s="233"/>
      <c r="FFF35" s="233"/>
      <c r="FFG35" s="233"/>
      <c r="FFH35" s="233"/>
      <c r="FFI35" s="233"/>
      <c r="FFJ35" s="233"/>
      <c r="FFK35" s="231"/>
      <c r="FFL35" s="231"/>
      <c r="FFM35" s="229"/>
      <c r="FFN35" s="230"/>
      <c r="FFO35" s="231"/>
      <c r="FFP35" s="232"/>
      <c r="FFQ35" s="233"/>
      <c r="FFR35" s="233"/>
      <c r="FFS35" s="233"/>
      <c r="FFT35" s="233"/>
      <c r="FFU35" s="233"/>
      <c r="FFV35" s="233"/>
      <c r="FFW35" s="231"/>
      <c r="FFX35" s="231"/>
      <c r="FFY35" s="229"/>
      <c r="FFZ35" s="230"/>
      <c r="FGA35" s="231"/>
      <c r="FGB35" s="232"/>
      <c r="FGC35" s="233"/>
      <c r="FGD35" s="233"/>
      <c r="FGE35" s="233"/>
      <c r="FGF35" s="233"/>
      <c r="FGG35" s="233"/>
      <c r="FGH35" s="233"/>
      <c r="FGI35" s="231"/>
      <c r="FGJ35" s="231"/>
      <c r="FGK35" s="229"/>
      <c r="FGL35" s="230"/>
      <c r="FGM35" s="231"/>
      <c r="FGN35" s="232"/>
      <c r="FGO35" s="233"/>
      <c r="FGP35" s="233"/>
      <c r="FGQ35" s="233"/>
      <c r="FGR35" s="233"/>
      <c r="FGS35" s="233"/>
      <c r="FGT35" s="233"/>
      <c r="FGU35" s="231"/>
      <c r="FGV35" s="231"/>
      <c r="FGW35" s="229"/>
      <c r="FGX35" s="230"/>
      <c r="FGY35" s="231"/>
      <c r="FGZ35" s="232"/>
      <c r="FHA35" s="233"/>
      <c r="FHB35" s="233"/>
      <c r="FHC35" s="233"/>
      <c r="FHD35" s="233"/>
      <c r="FHE35" s="233"/>
      <c r="FHF35" s="233"/>
      <c r="FHG35" s="231"/>
      <c r="FHH35" s="231"/>
      <c r="FHI35" s="229"/>
      <c r="FHJ35" s="230"/>
      <c r="FHK35" s="231"/>
      <c r="FHL35" s="232"/>
      <c r="FHM35" s="233"/>
      <c r="FHN35" s="233"/>
      <c r="FHO35" s="233"/>
      <c r="FHP35" s="233"/>
      <c r="FHQ35" s="233"/>
      <c r="FHR35" s="233"/>
      <c r="FHS35" s="231"/>
      <c r="FHT35" s="231"/>
      <c r="FHU35" s="229"/>
      <c r="FHV35" s="230"/>
      <c r="FHW35" s="231"/>
      <c r="FHX35" s="232"/>
      <c r="FHY35" s="233"/>
      <c r="FHZ35" s="233"/>
      <c r="FIA35" s="233"/>
      <c r="FIB35" s="233"/>
      <c r="FIC35" s="233"/>
      <c r="FID35" s="233"/>
      <c r="FIE35" s="231"/>
      <c r="FIF35" s="231"/>
      <c r="FIG35" s="229"/>
      <c r="FIH35" s="230"/>
      <c r="FII35" s="231"/>
      <c r="FIJ35" s="232"/>
      <c r="FIK35" s="233"/>
      <c r="FIL35" s="233"/>
      <c r="FIM35" s="233"/>
      <c r="FIN35" s="233"/>
      <c r="FIO35" s="233"/>
      <c r="FIP35" s="233"/>
      <c r="FIQ35" s="231"/>
      <c r="FIR35" s="231"/>
      <c r="FIS35" s="229"/>
      <c r="FIT35" s="230"/>
      <c r="FIU35" s="231"/>
      <c r="FIV35" s="232"/>
      <c r="FIW35" s="233"/>
      <c r="FIX35" s="233"/>
      <c r="FIY35" s="233"/>
      <c r="FIZ35" s="233"/>
      <c r="FJA35" s="233"/>
      <c r="FJB35" s="233"/>
      <c r="FJC35" s="231"/>
      <c r="FJD35" s="231"/>
      <c r="FJE35" s="229"/>
      <c r="FJF35" s="230"/>
      <c r="FJG35" s="231"/>
      <c r="FJH35" s="232"/>
      <c r="FJI35" s="233"/>
      <c r="FJJ35" s="233"/>
      <c r="FJK35" s="233"/>
      <c r="FJL35" s="233"/>
      <c r="FJM35" s="233"/>
      <c r="FJN35" s="233"/>
      <c r="FJO35" s="231"/>
      <c r="FJP35" s="231"/>
      <c r="FJQ35" s="229"/>
      <c r="FJR35" s="230"/>
      <c r="FJS35" s="231"/>
      <c r="FJT35" s="232"/>
      <c r="FJU35" s="233"/>
      <c r="FJV35" s="233"/>
      <c r="FJW35" s="233"/>
      <c r="FJX35" s="233"/>
      <c r="FJY35" s="233"/>
      <c r="FJZ35" s="233"/>
      <c r="FKA35" s="231"/>
      <c r="FKB35" s="231"/>
      <c r="FKC35" s="229"/>
      <c r="FKD35" s="230"/>
      <c r="FKE35" s="231"/>
      <c r="FKF35" s="232"/>
      <c r="FKG35" s="233"/>
      <c r="FKH35" s="233"/>
      <c r="FKI35" s="233"/>
      <c r="FKJ35" s="233"/>
      <c r="FKK35" s="233"/>
      <c r="FKL35" s="233"/>
      <c r="FKM35" s="231"/>
      <c r="FKN35" s="231"/>
      <c r="FKO35" s="229"/>
      <c r="FKP35" s="230"/>
      <c r="FKQ35" s="231"/>
      <c r="FKR35" s="232"/>
      <c r="FKS35" s="233"/>
      <c r="FKT35" s="233"/>
      <c r="FKU35" s="233"/>
      <c r="FKV35" s="233"/>
      <c r="FKW35" s="233"/>
      <c r="FKX35" s="233"/>
      <c r="FKY35" s="231"/>
      <c r="FKZ35" s="231"/>
      <c r="FLA35" s="229"/>
      <c r="FLB35" s="230"/>
      <c r="FLC35" s="231"/>
      <c r="FLD35" s="232"/>
      <c r="FLE35" s="233"/>
      <c r="FLF35" s="233"/>
      <c r="FLG35" s="233"/>
      <c r="FLH35" s="233"/>
      <c r="FLI35" s="233"/>
      <c r="FLJ35" s="233"/>
      <c r="FLK35" s="231"/>
      <c r="FLL35" s="231"/>
      <c r="FLM35" s="229"/>
      <c r="FLN35" s="230"/>
      <c r="FLO35" s="231"/>
      <c r="FLP35" s="232"/>
      <c r="FLQ35" s="233"/>
      <c r="FLR35" s="233"/>
      <c r="FLS35" s="233"/>
      <c r="FLT35" s="233"/>
      <c r="FLU35" s="233"/>
      <c r="FLV35" s="233"/>
      <c r="FLW35" s="231"/>
      <c r="FLX35" s="231"/>
      <c r="FLY35" s="229"/>
      <c r="FLZ35" s="230"/>
      <c r="FMA35" s="231"/>
      <c r="FMB35" s="232"/>
      <c r="FMC35" s="233"/>
      <c r="FMD35" s="233"/>
      <c r="FME35" s="233"/>
      <c r="FMF35" s="233"/>
      <c r="FMG35" s="233"/>
      <c r="FMH35" s="233"/>
      <c r="FMI35" s="231"/>
      <c r="FMJ35" s="231"/>
      <c r="FMK35" s="229"/>
      <c r="FML35" s="230"/>
      <c r="FMM35" s="231"/>
      <c r="FMN35" s="232"/>
      <c r="FMO35" s="233"/>
      <c r="FMP35" s="233"/>
      <c r="FMQ35" s="233"/>
      <c r="FMR35" s="233"/>
      <c r="FMS35" s="233"/>
      <c r="FMT35" s="233"/>
      <c r="FMU35" s="231"/>
      <c r="FMV35" s="231"/>
      <c r="FMW35" s="229"/>
      <c r="FMX35" s="230"/>
      <c r="FMY35" s="231"/>
      <c r="FMZ35" s="232"/>
      <c r="FNA35" s="233"/>
      <c r="FNB35" s="233"/>
      <c r="FNC35" s="233"/>
      <c r="FND35" s="233"/>
      <c r="FNE35" s="233"/>
      <c r="FNF35" s="233"/>
      <c r="FNG35" s="231"/>
      <c r="FNH35" s="231"/>
      <c r="FNI35" s="229"/>
      <c r="FNJ35" s="230"/>
      <c r="FNK35" s="231"/>
      <c r="FNL35" s="232"/>
      <c r="FNM35" s="233"/>
      <c r="FNN35" s="233"/>
      <c r="FNO35" s="233"/>
      <c r="FNP35" s="233"/>
      <c r="FNQ35" s="233"/>
      <c r="FNR35" s="233"/>
      <c r="FNS35" s="231"/>
      <c r="FNT35" s="231"/>
      <c r="FNU35" s="229"/>
      <c r="FNV35" s="230"/>
      <c r="FNW35" s="231"/>
      <c r="FNX35" s="232"/>
      <c r="FNY35" s="233"/>
      <c r="FNZ35" s="233"/>
      <c r="FOA35" s="233"/>
      <c r="FOB35" s="233"/>
      <c r="FOC35" s="233"/>
      <c r="FOD35" s="233"/>
      <c r="FOE35" s="231"/>
      <c r="FOF35" s="231"/>
      <c r="FOG35" s="229"/>
      <c r="FOH35" s="230"/>
      <c r="FOI35" s="231"/>
      <c r="FOJ35" s="232"/>
      <c r="FOK35" s="233"/>
      <c r="FOL35" s="233"/>
      <c r="FOM35" s="233"/>
      <c r="FON35" s="233"/>
      <c r="FOO35" s="233"/>
      <c r="FOP35" s="233"/>
      <c r="FOQ35" s="231"/>
      <c r="FOR35" s="231"/>
      <c r="FOS35" s="229"/>
      <c r="FOT35" s="230"/>
      <c r="FOU35" s="231"/>
      <c r="FOV35" s="232"/>
      <c r="FOW35" s="233"/>
      <c r="FOX35" s="233"/>
      <c r="FOY35" s="233"/>
      <c r="FOZ35" s="233"/>
      <c r="FPA35" s="233"/>
      <c r="FPB35" s="233"/>
      <c r="FPC35" s="231"/>
      <c r="FPD35" s="231"/>
      <c r="FPE35" s="229"/>
      <c r="FPF35" s="230"/>
      <c r="FPG35" s="231"/>
      <c r="FPH35" s="232"/>
      <c r="FPI35" s="233"/>
      <c r="FPJ35" s="233"/>
      <c r="FPK35" s="233"/>
      <c r="FPL35" s="233"/>
      <c r="FPM35" s="233"/>
      <c r="FPN35" s="233"/>
      <c r="FPO35" s="231"/>
      <c r="FPP35" s="231"/>
      <c r="FPQ35" s="229"/>
      <c r="FPR35" s="230"/>
      <c r="FPS35" s="231"/>
      <c r="FPT35" s="232"/>
      <c r="FPU35" s="233"/>
      <c r="FPV35" s="233"/>
      <c r="FPW35" s="233"/>
      <c r="FPX35" s="233"/>
      <c r="FPY35" s="233"/>
      <c r="FPZ35" s="233"/>
      <c r="FQA35" s="231"/>
      <c r="FQB35" s="231"/>
      <c r="FQC35" s="229"/>
      <c r="FQD35" s="230"/>
      <c r="FQE35" s="231"/>
      <c r="FQF35" s="232"/>
      <c r="FQG35" s="233"/>
      <c r="FQH35" s="233"/>
      <c r="FQI35" s="233"/>
      <c r="FQJ35" s="233"/>
      <c r="FQK35" s="233"/>
      <c r="FQL35" s="233"/>
      <c r="FQM35" s="231"/>
      <c r="FQN35" s="231"/>
      <c r="FQO35" s="229"/>
      <c r="FQP35" s="230"/>
      <c r="FQQ35" s="231"/>
      <c r="FQR35" s="232"/>
      <c r="FQS35" s="233"/>
      <c r="FQT35" s="233"/>
      <c r="FQU35" s="233"/>
      <c r="FQV35" s="233"/>
      <c r="FQW35" s="233"/>
      <c r="FQX35" s="233"/>
      <c r="FQY35" s="231"/>
      <c r="FQZ35" s="231"/>
      <c r="FRA35" s="229"/>
      <c r="FRB35" s="230"/>
      <c r="FRC35" s="231"/>
      <c r="FRD35" s="232"/>
      <c r="FRE35" s="233"/>
      <c r="FRF35" s="233"/>
      <c r="FRG35" s="233"/>
      <c r="FRH35" s="233"/>
      <c r="FRI35" s="233"/>
      <c r="FRJ35" s="233"/>
      <c r="FRK35" s="231"/>
      <c r="FRL35" s="231"/>
      <c r="FRM35" s="229"/>
      <c r="FRN35" s="230"/>
      <c r="FRO35" s="231"/>
      <c r="FRP35" s="232"/>
      <c r="FRQ35" s="233"/>
      <c r="FRR35" s="233"/>
      <c r="FRS35" s="233"/>
      <c r="FRT35" s="233"/>
      <c r="FRU35" s="233"/>
      <c r="FRV35" s="233"/>
      <c r="FRW35" s="231"/>
      <c r="FRX35" s="231"/>
      <c r="FRY35" s="229"/>
      <c r="FRZ35" s="230"/>
      <c r="FSA35" s="231"/>
      <c r="FSB35" s="232"/>
      <c r="FSC35" s="233"/>
      <c r="FSD35" s="233"/>
      <c r="FSE35" s="233"/>
      <c r="FSF35" s="233"/>
      <c r="FSG35" s="233"/>
      <c r="FSH35" s="233"/>
      <c r="FSI35" s="231"/>
      <c r="FSJ35" s="231"/>
      <c r="FSK35" s="229"/>
      <c r="FSL35" s="230"/>
      <c r="FSM35" s="231"/>
      <c r="FSN35" s="232"/>
      <c r="FSO35" s="233"/>
      <c r="FSP35" s="233"/>
      <c r="FSQ35" s="233"/>
      <c r="FSR35" s="233"/>
      <c r="FSS35" s="233"/>
      <c r="FST35" s="233"/>
      <c r="FSU35" s="231"/>
      <c r="FSV35" s="231"/>
      <c r="FSW35" s="229"/>
      <c r="FSX35" s="230"/>
      <c r="FSY35" s="231"/>
      <c r="FSZ35" s="232"/>
      <c r="FTA35" s="233"/>
      <c r="FTB35" s="233"/>
      <c r="FTC35" s="233"/>
      <c r="FTD35" s="233"/>
      <c r="FTE35" s="233"/>
      <c r="FTF35" s="233"/>
      <c r="FTG35" s="231"/>
      <c r="FTH35" s="231"/>
      <c r="FTI35" s="229"/>
      <c r="FTJ35" s="230"/>
      <c r="FTK35" s="231"/>
      <c r="FTL35" s="232"/>
      <c r="FTM35" s="233"/>
      <c r="FTN35" s="233"/>
      <c r="FTO35" s="233"/>
      <c r="FTP35" s="233"/>
      <c r="FTQ35" s="233"/>
      <c r="FTR35" s="233"/>
      <c r="FTS35" s="231"/>
      <c r="FTT35" s="231"/>
      <c r="FTU35" s="229"/>
      <c r="FTV35" s="230"/>
      <c r="FTW35" s="231"/>
      <c r="FTX35" s="232"/>
      <c r="FTY35" s="233"/>
      <c r="FTZ35" s="233"/>
      <c r="FUA35" s="233"/>
      <c r="FUB35" s="233"/>
      <c r="FUC35" s="233"/>
      <c r="FUD35" s="233"/>
      <c r="FUE35" s="231"/>
      <c r="FUF35" s="231"/>
      <c r="FUG35" s="229"/>
      <c r="FUH35" s="230"/>
      <c r="FUI35" s="231"/>
      <c r="FUJ35" s="232"/>
      <c r="FUK35" s="233"/>
      <c r="FUL35" s="233"/>
      <c r="FUM35" s="233"/>
      <c r="FUN35" s="233"/>
      <c r="FUO35" s="233"/>
      <c r="FUP35" s="233"/>
      <c r="FUQ35" s="231"/>
      <c r="FUR35" s="231"/>
      <c r="FUS35" s="229"/>
      <c r="FUT35" s="230"/>
      <c r="FUU35" s="231"/>
      <c r="FUV35" s="232"/>
      <c r="FUW35" s="233"/>
      <c r="FUX35" s="233"/>
      <c r="FUY35" s="233"/>
      <c r="FUZ35" s="233"/>
      <c r="FVA35" s="233"/>
      <c r="FVB35" s="233"/>
      <c r="FVC35" s="231"/>
      <c r="FVD35" s="231"/>
      <c r="FVE35" s="229"/>
      <c r="FVF35" s="230"/>
      <c r="FVG35" s="231"/>
      <c r="FVH35" s="232"/>
      <c r="FVI35" s="233"/>
      <c r="FVJ35" s="233"/>
      <c r="FVK35" s="233"/>
      <c r="FVL35" s="233"/>
      <c r="FVM35" s="233"/>
      <c r="FVN35" s="233"/>
      <c r="FVO35" s="231"/>
      <c r="FVP35" s="231"/>
      <c r="FVQ35" s="229"/>
      <c r="FVR35" s="230"/>
      <c r="FVS35" s="231"/>
      <c r="FVT35" s="232"/>
      <c r="FVU35" s="233"/>
      <c r="FVV35" s="233"/>
      <c r="FVW35" s="233"/>
      <c r="FVX35" s="233"/>
      <c r="FVY35" s="233"/>
      <c r="FVZ35" s="233"/>
      <c r="FWA35" s="231"/>
      <c r="FWB35" s="231"/>
      <c r="FWC35" s="229"/>
      <c r="FWD35" s="230"/>
      <c r="FWE35" s="231"/>
      <c r="FWF35" s="232"/>
      <c r="FWG35" s="233"/>
      <c r="FWH35" s="233"/>
      <c r="FWI35" s="233"/>
      <c r="FWJ35" s="233"/>
      <c r="FWK35" s="233"/>
      <c r="FWL35" s="233"/>
      <c r="FWM35" s="231"/>
      <c r="FWN35" s="231"/>
      <c r="FWO35" s="229"/>
      <c r="FWP35" s="230"/>
      <c r="FWQ35" s="231"/>
      <c r="FWR35" s="232"/>
      <c r="FWS35" s="233"/>
      <c r="FWT35" s="233"/>
      <c r="FWU35" s="233"/>
      <c r="FWV35" s="233"/>
      <c r="FWW35" s="233"/>
      <c r="FWX35" s="233"/>
      <c r="FWY35" s="231"/>
      <c r="FWZ35" s="231"/>
      <c r="FXA35" s="229"/>
      <c r="FXB35" s="230"/>
      <c r="FXC35" s="231"/>
      <c r="FXD35" s="232"/>
      <c r="FXE35" s="233"/>
      <c r="FXF35" s="233"/>
      <c r="FXG35" s="233"/>
      <c r="FXH35" s="233"/>
      <c r="FXI35" s="233"/>
      <c r="FXJ35" s="233"/>
      <c r="FXK35" s="231"/>
      <c r="FXL35" s="231"/>
      <c r="FXM35" s="229"/>
      <c r="FXN35" s="230"/>
      <c r="FXO35" s="231"/>
      <c r="FXP35" s="232"/>
      <c r="FXQ35" s="233"/>
      <c r="FXR35" s="233"/>
      <c r="FXS35" s="233"/>
      <c r="FXT35" s="233"/>
      <c r="FXU35" s="233"/>
      <c r="FXV35" s="233"/>
      <c r="FXW35" s="231"/>
      <c r="FXX35" s="231"/>
      <c r="FXY35" s="229"/>
      <c r="FXZ35" s="230"/>
      <c r="FYA35" s="231"/>
      <c r="FYB35" s="232"/>
      <c r="FYC35" s="233"/>
      <c r="FYD35" s="233"/>
      <c r="FYE35" s="233"/>
      <c r="FYF35" s="233"/>
      <c r="FYG35" s="233"/>
      <c r="FYH35" s="233"/>
      <c r="FYI35" s="231"/>
      <c r="FYJ35" s="231"/>
      <c r="FYK35" s="229"/>
      <c r="FYL35" s="230"/>
      <c r="FYM35" s="231"/>
      <c r="FYN35" s="232"/>
      <c r="FYO35" s="233"/>
      <c r="FYP35" s="233"/>
      <c r="FYQ35" s="233"/>
      <c r="FYR35" s="233"/>
      <c r="FYS35" s="233"/>
      <c r="FYT35" s="233"/>
      <c r="FYU35" s="231"/>
      <c r="FYV35" s="231"/>
      <c r="FYW35" s="229"/>
      <c r="FYX35" s="230"/>
      <c r="FYY35" s="231"/>
      <c r="FYZ35" s="232"/>
      <c r="FZA35" s="233"/>
      <c r="FZB35" s="233"/>
      <c r="FZC35" s="233"/>
      <c r="FZD35" s="233"/>
      <c r="FZE35" s="233"/>
      <c r="FZF35" s="233"/>
      <c r="FZG35" s="231"/>
      <c r="FZH35" s="231"/>
      <c r="FZI35" s="229"/>
      <c r="FZJ35" s="230"/>
      <c r="FZK35" s="231"/>
      <c r="FZL35" s="232"/>
      <c r="FZM35" s="233"/>
      <c r="FZN35" s="233"/>
      <c r="FZO35" s="233"/>
      <c r="FZP35" s="233"/>
      <c r="FZQ35" s="233"/>
      <c r="FZR35" s="233"/>
      <c r="FZS35" s="231"/>
      <c r="FZT35" s="231"/>
      <c r="FZU35" s="229"/>
      <c r="FZV35" s="230"/>
      <c r="FZW35" s="231"/>
      <c r="FZX35" s="232"/>
      <c r="FZY35" s="233"/>
      <c r="FZZ35" s="233"/>
      <c r="GAA35" s="233"/>
      <c r="GAB35" s="233"/>
      <c r="GAC35" s="233"/>
      <c r="GAD35" s="233"/>
      <c r="GAE35" s="231"/>
      <c r="GAF35" s="231"/>
      <c r="GAG35" s="229"/>
      <c r="GAH35" s="230"/>
      <c r="GAI35" s="231"/>
      <c r="GAJ35" s="232"/>
      <c r="GAK35" s="233"/>
      <c r="GAL35" s="233"/>
      <c r="GAM35" s="233"/>
      <c r="GAN35" s="233"/>
      <c r="GAO35" s="233"/>
      <c r="GAP35" s="233"/>
      <c r="GAQ35" s="231"/>
      <c r="GAR35" s="231"/>
      <c r="GAS35" s="229"/>
      <c r="GAT35" s="230"/>
      <c r="GAU35" s="231"/>
      <c r="GAV35" s="232"/>
      <c r="GAW35" s="233"/>
      <c r="GAX35" s="233"/>
      <c r="GAY35" s="233"/>
      <c r="GAZ35" s="233"/>
      <c r="GBA35" s="233"/>
      <c r="GBB35" s="233"/>
      <c r="GBC35" s="231"/>
      <c r="GBD35" s="231"/>
      <c r="GBE35" s="229"/>
      <c r="GBF35" s="230"/>
      <c r="GBG35" s="231"/>
      <c r="GBH35" s="232"/>
      <c r="GBI35" s="233"/>
      <c r="GBJ35" s="233"/>
      <c r="GBK35" s="233"/>
      <c r="GBL35" s="233"/>
      <c r="GBM35" s="233"/>
      <c r="GBN35" s="233"/>
      <c r="GBO35" s="231"/>
      <c r="GBP35" s="231"/>
      <c r="GBQ35" s="229"/>
      <c r="GBR35" s="230"/>
      <c r="GBS35" s="231"/>
      <c r="GBT35" s="232"/>
      <c r="GBU35" s="233"/>
      <c r="GBV35" s="233"/>
      <c r="GBW35" s="233"/>
      <c r="GBX35" s="233"/>
      <c r="GBY35" s="233"/>
      <c r="GBZ35" s="233"/>
      <c r="GCA35" s="231"/>
      <c r="GCB35" s="231"/>
      <c r="GCC35" s="229"/>
      <c r="GCD35" s="230"/>
      <c r="GCE35" s="231"/>
      <c r="GCF35" s="232"/>
      <c r="GCG35" s="233"/>
      <c r="GCH35" s="233"/>
      <c r="GCI35" s="233"/>
      <c r="GCJ35" s="233"/>
      <c r="GCK35" s="233"/>
      <c r="GCL35" s="233"/>
      <c r="GCM35" s="231"/>
      <c r="GCN35" s="231"/>
      <c r="GCO35" s="229"/>
      <c r="GCP35" s="230"/>
      <c r="GCQ35" s="231"/>
      <c r="GCR35" s="232"/>
      <c r="GCS35" s="233"/>
      <c r="GCT35" s="233"/>
      <c r="GCU35" s="233"/>
      <c r="GCV35" s="233"/>
      <c r="GCW35" s="233"/>
      <c r="GCX35" s="233"/>
      <c r="GCY35" s="231"/>
      <c r="GCZ35" s="231"/>
      <c r="GDA35" s="229"/>
      <c r="GDB35" s="230"/>
      <c r="GDC35" s="231"/>
      <c r="GDD35" s="232"/>
      <c r="GDE35" s="233"/>
      <c r="GDF35" s="233"/>
      <c r="GDG35" s="233"/>
      <c r="GDH35" s="233"/>
      <c r="GDI35" s="233"/>
      <c r="GDJ35" s="233"/>
      <c r="GDK35" s="231"/>
      <c r="GDL35" s="231"/>
      <c r="GDM35" s="229"/>
      <c r="GDN35" s="230"/>
      <c r="GDO35" s="231"/>
      <c r="GDP35" s="232"/>
      <c r="GDQ35" s="233"/>
      <c r="GDR35" s="233"/>
      <c r="GDS35" s="233"/>
      <c r="GDT35" s="233"/>
      <c r="GDU35" s="233"/>
      <c r="GDV35" s="233"/>
      <c r="GDW35" s="231"/>
      <c r="GDX35" s="231"/>
      <c r="GDY35" s="229"/>
      <c r="GDZ35" s="230"/>
      <c r="GEA35" s="231"/>
      <c r="GEB35" s="232"/>
      <c r="GEC35" s="233"/>
      <c r="GED35" s="233"/>
      <c r="GEE35" s="233"/>
      <c r="GEF35" s="233"/>
      <c r="GEG35" s="233"/>
      <c r="GEH35" s="233"/>
      <c r="GEI35" s="231"/>
      <c r="GEJ35" s="231"/>
      <c r="GEK35" s="229"/>
      <c r="GEL35" s="230"/>
      <c r="GEM35" s="231"/>
      <c r="GEN35" s="232"/>
      <c r="GEO35" s="233"/>
      <c r="GEP35" s="233"/>
      <c r="GEQ35" s="233"/>
      <c r="GER35" s="233"/>
      <c r="GES35" s="233"/>
      <c r="GET35" s="233"/>
      <c r="GEU35" s="231"/>
      <c r="GEV35" s="231"/>
      <c r="GEW35" s="229"/>
      <c r="GEX35" s="230"/>
      <c r="GEY35" s="231"/>
      <c r="GEZ35" s="232"/>
      <c r="GFA35" s="233"/>
      <c r="GFB35" s="233"/>
      <c r="GFC35" s="233"/>
      <c r="GFD35" s="233"/>
      <c r="GFE35" s="233"/>
      <c r="GFF35" s="233"/>
      <c r="GFG35" s="231"/>
      <c r="GFH35" s="231"/>
      <c r="GFI35" s="229"/>
      <c r="GFJ35" s="230"/>
      <c r="GFK35" s="231"/>
      <c r="GFL35" s="232"/>
      <c r="GFM35" s="233"/>
      <c r="GFN35" s="233"/>
      <c r="GFO35" s="233"/>
      <c r="GFP35" s="233"/>
      <c r="GFQ35" s="233"/>
      <c r="GFR35" s="233"/>
      <c r="GFS35" s="231"/>
      <c r="GFT35" s="231"/>
      <c r="GFU35" s="229"/>
      <c r="GFV35" s="230"/>
      <c r="GFW35" s="231"/>
      <c r="GFX35" s="232"/>
      <c r="GFY35" s="233"/>
      <c r="GFZ35" s="233"/>
      <c r="GGA35" s="233"/>
      <c r="GGB35" s="233"/>
      <c r="GGC35" s="233"/>
      <c r="GGD35" s="233"/>
      <c r="GGE35" s="231"/>
      <c r="GGF35" s="231"/>
      <c r="GGG35" s="229"/>
      <c r="GGH35" s="230"/>
      <c r="GGI35" s="231"/>
      <c r="GGJ35" s="232"/>
      <c r="GGK35" s="233"/>
      <c r="GGL35" s="233"/>
      <c r="GGM35" s="233"/>
      <c r="GGN35" s="233"/>
      <c r="GGO35" s="233"/>
      <c r="GGP35" s="233"/>
      <c r="GGQ35" s="231"/>
      <c r="GGR35" s="231"/>
      <c r="GGS35" s="229"/>
      <c r="GGT35" s="230"/>
      <c r="GGU35" s="231"/>
      <c r="GGV35" s="232"/>
      <c r="GGW35" s="233"/>
      <c r="GGX35" s="233"/>
      <c r="GGY35" s="233"/>
      <c r="GGZ35" s="233"/>
      <c r="GHA35" s="233"/>
      <c r="GHB35" s="233"/>
      <c r="GHC35" s="231"/>
      <c r="GHD35" s="231"/>
      <c r="GHE35" s="229"/>
      <c r="GHF35" s="230"/>
      <c r="GHG35" s="231"/>
      <c r="GHH35" s="232"/>
      <c r="GHI35" s="233"/>
      <c r="GHJ35" s="233"/>
      <c r="GHK35" s="233"/>
      <c r="GHL35" s="233"/>
      <c r="GHM35" s="233"/>
      <c r="GHN35" s="233"/>
      <c r="GHO35" s="231"/>
      <c r="GHP35" s="231"/>
      <c r="GHQ35" s="229"/>
      <c r="GHR35" s="230"/>
      <c r="GHS35" s="231"/>
      <c r="GHT35" s="232"/>
      <c r="GHU35" s="233"/>
      <c r="GHV35" s="233"/>
      <c r="GHW35" s="233"/>
      <c r="GHX35" s="233"/>
      <c r="GHY35" s="233"/>
      <c r="GHZ35" s="233"/>
      <c r="GIA35" s="231"/>
      <c r="GIB35" s="231"/>
      <c r="GIC35" s="229"/>
      <c r="GID35" s="230"/>
      <c r="GIE35" s="231"/>
      <c r="GIF35" s="232"/>
      <c r="GIG35" s="233"/>
      <c r="GIH35" s="233"/>
      <c r="GII35" s="233"/>
      <c r="GIJ35" s="233"/>
      <c r="GIK35" s="233"/>
      <c r="GIL35" s="233"/>
      <c r="GIM35" s="231"/>
      <c r="GIN35" s="231"/>
      <c r="GIO35" s="229"/>
      <c r="GIP35" s="230"/>
      <c r="GIQ35" s="231"/>
      <c r="GIR35" s="232"/>
      <c r="GIS35" s="233"/>
      <c r="GIT35" s="233"/>
      <c r="GIU35" s="233"/>
      <c r="GIV35" s="233"/>
      <c r="GIW35" s="233"/>
      <c r="GIX35" s="233"/>
      <c r="GIY35" s="231"/>
      <c r="GIZ35" s="231"/>
      <c r="GJA35" s="229"/>
      <c r="GJB35" s="230"/>
      <c r="GJC35" s="231"/>
      <c r="GJD35" s="232"/>
      <c r="GJE35" s="233"/>
      <c r="GJF35" s="233"/>
      <c r="GJG35" s="233"/>
      <c r="GJH35" s="233"/>
      <c r="GJI35" s="233"/>
      <c r="GJJ35" s="233"/>
      <c r="GJK35" s="231"/>
      <c r="GJL35" s="231"/>
      <c r="GJM35" s="229"/>
      <c r="GJN35" s="230"/>
      <c r="GJO35" s="231"/>
      <c r="GJP35" s="232"/>
      <c r="GJQ35" s="233"/>
      <c r="GJR35" s="233"/>
      <c r="GJS35" s="233"/>
      <c r="GJT35" s="233"/>
      <c r="GJU35" s="233"/>
      <c r="GJV35" s="233"/>
      <c r="GJW35" s="231"/>
      <c r="GJX35" s="231"/>
      <c r="GJY35" s="229"/>
      <c r="GJZ35" s="230"/>
      <c r="GKA35" s="231"/>
      <c r="GKB35" s="232"/>
      <c r="GKC35" s="233"/>
      <c r="GKD35" s="233"/>
      <c r="GKE35" s="233"/>
      <c r="GKF35" s="233"/>
      <c r="GKG35" s="233"/>
      <c r="GKH35" s="233"/>
      <c r="GKI35" s="231"/>
      <c r="GKJ35" s="231"/>
      <c r="GKK35" s="229"/>
      <c r="GKL35" s="230"/>
      <c r="GKM35" s="231"/>
      <c r="GKN35" s="232"/>
      <c r="GKO35" s="233"/>
      <c r="GKP35" s="233"/>
      <c r="GKQ35" s="233"/>
      <c r="GKR35" s="233"/>
      <c r="GKS35" s="233"/>
      <c r="GKT35" s="233"/>
      <c r="GKU35" s="231"/>
      <c r="GKV35" s="231"/>
      <c r="GKW35" s="229"/>
      <c r="GKX35" s="230"/>
      <c r="GKY35" s="231"/>
      <c r="GKZ35" s="232"/>
      <c r="GLA35" s="233"/>
      <c r="GLB35" s="233"/>
      <c r="GLC35" s="233"/>
      <c r="GLD35" s="233"/>
      <c r="GLE35" s="233"/>
      <c r="GLF35" s="233"/>
      <c r="GLG35" s="231"/>
      <c r="GLH35" s="231"/>
      <c r="GLI35" s="229"/>
      <c r="GLJ35" s="230"/>
      <c r="GLK35" s="231"/>
      <c r="GLL35" s="232"/>
      <c r="GLM35" s="233"/>
      <c r="GLN35" s="233"/>
      <c r="GLO35" s="233"/>
      <c r="GLP35" s="233"/>
      <c r="GLQ35" s="233"/>
      <c r="GLR35" s="233"/>
      <c r="GLS35" s="231"/>
      <c r="GLT35" s="231"/>
      <c r="GLU35" s="229"/>
      <c r="GLV35" s="230"/>
      <c r="GLW35" s="231"/>
      <c r="GLX35" s="232"/>
      <c r="GLY35" s="233"/>
      <c r="GLZ35" s="233"/>
      <c r="GMA35" s="233"/>
      <c r="GMB35" s="233"/>
      <c r="GMC35" s="233"/>
      <c r="GMD35" s="233"/>
      <c r="GME35" s="231"/>
      <c r="GMF35" s="231"/>
      <c r="GMG35" s="229"/>
      <c r="GMH35" s="230"/>
      <c r="GMI35" s="231"/>
      <c r="GMJ35" s="232"/>
      <c r="GMK35" s="233"/>
      <c r="GML35" s="233"/>
      <c r="GMM35" s="233"/>
      <c r="GMN35" s="233"/>
      <c r="GMO35" s="233"/>
      <c r="GMP35" s="233"/>
      <c r="GMQ35" s="231"/>
      <c r="GMR35" s="231"/>
      <c r="GMS35" s="229"/>
      <c r="GMT35" s="230"/>
      <c r="GMU35" s="231"/>
      <c r="GMV35" s="232"/>
      <c r="GMW35" s="233"/>
      <c r="GMX35" s="233"/>
      <c r="GMY35" s="233"/>
      <c r="GMZ35" s="233"/>
      <c r="GNA35" s="233"/>
      <c r="GNB35" s="233"/>
      <c r="GNC35" s="231"/>
      <c r="GND35" s="231"/>
      <c r="GNE35" s="229"/>
      <c r="GNF35" s="230"/>
      <c r="GNG35" s="231"/>
      <c r="GNH35" s="232"/>
      <c r="GNI35" s="233"/>
      <c r="GNJ35" s="233"/>
      <c r="GNK35" s="233"/>
      <c r="GNL35" s="233"/>
      <c r="GNM35" s="233"/>
      <c r="GNN35" s="233"/>
      <c r="GNO35" s="231"/>
      <c r="GNP35" s="231"/>
      <c r="GNQ35" s="229"/>
      <c r="GNR35" s="230"/>
      <c r="GNS35" s="231"/>
      <c r="GNT35" s="232"/>
      <c r="GNU35" s="233"/>
      <c r="GNV35" s="233"/>
      <c r="GNW35" s="233"/>
      <c r="GNX35" s="233"/>
      <c r="GNY35" s="233"/>
      <c r="GNZ35" s="233"/>
      <c r="GOA35" s="231"/>
      <c r="GOB35" s="231"/>
      <c r="GOC35" s="229"/>
      <c r="GOD35" s="230"/>
      <c r="GOE35" s="231"/>
      <c r="GOF35" s="232"/>
      <c r="GOG35" s="233"/>
      <c r="GOH35" s="233"/>
      <c r="GOI35" s="233"/>
      <c r="GOJ35" s="233"/>
      <c r="GOK35" s="233"/>
      <c r="GOL35" s="233"/>
      <c r="GOM35" s="231"/>
      <c r="GON35" s="231"/>
      <c r="GOO35" s="229"/>
      <c r="GOP35" s="230"/>
      <c r="GOQ35" s="231"/>
      <c r="GOR35" s="232"/>
      <c r="GOS35" s="233"/>
      <c r="GOT35" s="233"/>
      <c r="GOU35" s="233"/>
      <c r="GOV35" s="233"/>
      <c r="GOW35" s="233"/>
      <c r="GOX35" s="233"/>
      <c r="GOY35" s="231"/>
      <c r="GOZ35" s="231"/>
      <c r="GPA35" s="229"/>
      <c r="GPB35" s="230"/>
      <c r="GPC35" s="231"/>
      <c r="GPD35" s="232"/>
      <c r="GPE35" s="233"/>
      <c r="GPF35" s="233"/>
      <c r="GPG35" s="233"/>
      <c r="GPH35" s="233"/>
      <c r="GPI35" s="233"/>
      <c r="GPJ35" s="233"/>
      <c r="GPK35" s="231"/>
      <c r="GPL35" s="231"/>
      <c r="GPM35" s="229"/>
      <c r="GPN35" s="230"/>
      <c r="GPO35" s="231"/>
      <c r="GPP35" s="232"/>
      <c r="GPQ35" s="233"/>
      <c r="GPR35" s="233"/>
      <c r="GPS35" s="233"/>
      <c r="GPT35" s="233"/>
      <c r="GPU35" s="233"/>
      <c r="GPV35" s="233"/>
      <c r="GPW35" s="231"/>
      <c r="GPX35" s="231"/>
      <c r="GPY35" s="229"/>
      <c r="GPZ35" s="230"/>
      <c r="GQA35" s="231"/>
      <c r="GQB35" s="232"/>
      <c r="GQC35" s="233"/>
      <c r="GQD35" s="233"/>
      <c r="GQE35" s="233"/>
      <c r="GQF35" s="233"/>
      <c r="GQG35" s="233"/>
      <c r="GQH35" s="233"/>
      <c r="GQI35" s="231"/>
      <c r="GQJ35" s="231"/>
      <c r="GQK35" s="229"/>
      <c r="GQL35" s="230"/>
      <c r="GQM35" s="231"/>
      <c r="GQN35" s="232"/>
      <c r="GQO35" s="233"/>
      <c r="GQP35" s="233"/>
      <c r="GQQ35" s="233"/>
      <c r="GQR35" s="233"/>
      <c r="GQS35" s="233"/>
      <c r="GQT35" s="233"/>
      <c r="GQU35" s="231"/>
      <c r="GQV35" s="231"/>
      <c r="GQW35" s="229"/>
      <c r="GQX35" s="230"/>
      <c r="GQY35" s="231"/>
      <c r="GQZ35" s="232"/>
      <c r="GRA35" s="233"/>
      <c r="GRB35" s="233"/>
      <c r="GRC35" s="233"/>
      <c r="GRD35" s="233"/>
      <c r="GRE35" s="233"/>
      <c r="GRF35" s="233"/>
      <c r="GRG35" s="231"/>
      <c r="GRH35" s="231"/>
      <c r="GRI35" s="229"/>
      <c r="GRJ35" s="230"/>
      <c r="GRK35" s="231"/>
      <c r="GRL35" s="232"/>
      <c r="GRM35" s="233"/>
      <c r="GRN35" s="233"/>
      <c r="GRO35" s="233"/>
      <c r="GRP35" s="233"/>
      <c r="GRQ35" s="233"/>
      <c r="GRR35" s="233"/>
      <c r="GRS35" s="231"/>
      <c r="GRT35" s="231"/>
      <c r="GRU35" s="229"/>
      <c r="GRV35" s="230"/>
      <c r="GRW35" s="231"/>
      <c r="GRX35" s="232"/>
      <c r="GRY35" s="233"/>
      <c r="GRZ35" s="233"/>
      <c r="GSA35" s="233"/>
      <c r="GSB35" s="233"/>
      <c r="GSC35" s="233"/>
      <c r="GSD35" s="233"/>
      <c r="GSE35" s="231"/>
      <c r="GSF35" s="231"/>
      <c r="GSG35" s="229"/>
      <c r="GSH35" s="230"/>
      <c r="GSI35" s="231"/>
      <c r="GSJ35" s="232"/>
      <c r="GSK35" s="233"/>
      <c r="GSL35" s="233"/>
      <c r="GSM35" s="233"/>
      <c r="GSN35" s="233"/>
      <c r="GSO35" s="233"/>
      <c r="GSP35" s="233"/>
      <c r="GSQ35" s="231"/>
      <c r="GSR35" s="231"/>
      <c r="GSS35" s="229"/>
      <c r="GST35" s="230"/>
      <c r="GSU35" s="231"/>
      <c r="GSV35" s="232"/>
      <c r="GSW35" s="233"/>
      <c r="GSX35" s="233"/>
      <c r="GSY35" s="233"/>
      <c r="GSZ35" s="233"/>
      <c r="GTA35" s="233"/>
      <c r="GTB35" s="233"/>
      <c r="GTC35" s="231"/>
      <c r="GTD35" s="231"/>
      <c r="GTE35" s="229"/>
      <c r="GTF35" s="230"/>
      <c r="GTG35" s="231"/>
      <c r="GTH35" s="232"/>
      <c r="GTI35" s="233"/>
      <c r="GTJ35" s="233"/>
      <c r="GTK35" s="233"/>
      <c r="GTL35" s="233"/>
      <c r="GTM35" s="233"/>
      <c r="GTN35" s="233"/>
      <c r="GTO35" s="231"/>
      <c r="GTP35" s="231"/>
      <c r="GTQ35" s="229"/>
      <c r="GTR35" s="230"/>
      <c r="GTS35" s="231"/>
      <c r="GTT35" s="232"/>
      <c r="GTU35" s="233"/>
      <c r="GTV35" s="233"/>
      <c r="GTW35" s="233"/>
      <c r="GTX35" s="233"/>
      <c r="GTY35" s="233"/>
      <c r="GTZ35" s="233"/>
      <c r="GUA35" s="231"/>
      <c r="GUB35" s="231"/>
      <c r="GUC35" s="229"/>
      <c r="GUD35" s="230"/>
      <c r="GUE35" s="231"/>
      <c r="GUF35" s="232"/>
      <c r="GUG35" s="233"/>
      <c r="GUH35" s="233"/>
      <c r="GUI35" s="233"/>
      <c r="GUJ35" s="233"/>
      <c r="GUK35" s="233"/>
      <c r="GUL35" s="233"/>
      <c r="GUM35" s="231"/>
      <c r="GUN35" s="231"/>
      <c r="GUO35" s="229"/>
      <c r="GUP35" s="230"/>
      <c r="GUQ35" s="231"/>
      <c r="GUR35" s="232"/>
      <c r="GUS35" s="233"/>
      <c r="GUT35" s="233"/>
      <c r="GUU35" s="233"/>
      <c r="GUV35" s="233"/>
      <c r="GUW35" s="233"/>
      <c r="GUX35" s="233"/>
      <c r="GUY35" s="231"/>
      <c r="GUZ35" s="231"/>
      <c r="GVA35" s="229"/>
      <c r="GVB35" s="230"/>
      <c r="GVC35" s="231"/>
      <c r="GVD35" s="232"/>
      <c r="GVE35" s="233"/>
      <c r="GVF35" s="233"/>
      <c r="GVG35" s="233"/>
      <c r="GVH35" s="233"/>
      <c r="GVI35" s="233"/>
      <c r="GVJ35" s="233"/>
      <c r="GVK35" s="231"/>
      <c r="GVL35" s="231"/>
      <c r="GVM35" s="229"/>
      <c r="GVN35" s="230"/>
      <c r="GVO35" s="231"/>
      <c r="GVP35" s="232"/>
      <c r="GVQ35" s="233"/>
      <c r="GVR35" s="233"/>
      <c r="GVS35" s="233"/>
      <c r="GVT35" s="233"/>
      <c r="GVU35" s="233"/>
      <c r="GVV35" s="233"/>
      <c r="GVW35" s="231"/>
      <c r="GVX35" s="231"/>
      <c r="GVY35" s="229"/>
      <c r="GVZ35" s="230"/>
      <c r="GWA35" s="231"/>
      <c r="GWB35" s="232"/>
      <c r="GWC35" s="233"/>
      <c r="GWD35" s="233"/>
      <c r="GWE35" s="233"/>
      <c r="GWF35" s="233"/>
      <c r="GWG35" s="233"/>
      <c r="GWH35" s="233"/>
      <c r="GWI35" s="231"/>
      <c r="GWJ35" s="231"/>
      <c r="GWK35" s="229"/>
      <c r="GWL35" s="230"/>
      <c r="GWM35" s="231"/>
      <c r="GWN35" s="232"/>
      <c r="GWO35" s="233"/>
      <c r="GWP35" s="233"/>
      <c r="GWQ35" s="233"/>
      <c r="GWR35" s="233"/>
      <c r="GWS35" s="233"/>
      <c r="GWT35" s="233"/>
      <c r="GWU35" s="231"/>
      <c r="GWV35" s="231"/>
      <c r="GWW35" s="229"/>
      <c r="GWX35" s="230"/>
      <c r="GWY35" s="231"/>
      <c r="GWZ35" s="232"/>
      <c r="GXA35" s="233"/>
      <c r="GXB35" s="233"/>
      <c r="GXC35" s="233"/>
      <c r="GXD35" s="233"/>
      <c r="GXE35" s="233"/>
      <c r="GXF35" s="233"/>
      <c r="GXG35" s="231"/>
      <c r="GXH35" s="231"/>
      <c r="GXI35" s="229"/>
      <c r="GXJ35" s="230"/>
      <c r="GXK35" s="231"/>
      <c r="GXL35" s="232"/>
      <c r="GXM35" s="233"/>
      <c r="GXN35" s="233"/>
      <c r="GXO35" s="233"/>
      <c r="GXP35" s="233"/>
      <c r="GXQ35" s="233"/>
      <c r="GXR35" s="233"/>
      <c r="GXS35" s="231"/>
      <c r="GXT35" s="231"/>
      <c r="GXU35" s="229"/>
      <c r="GXV35" s="230"/>
      <c r="GXW35" s="231"/>
      <c r="GXX35" s="232"/>
      <c r="GXY35" s="233"/>
      <c r="GXZ35" s="233"/>
      <c r="GYA35" s="233"/>
      <c r="GYB35" s="233"/>
      <c r="GYC35" s="233"/>
      <c r="GYD35" s="233"/>
      <c r="GYE35" s="231"/>
      <c r="GYF35" s="231"/>
      <c r="GYG35" s="229"/>
      <c r="GYH35" s="230"/>
      <c r="GYI35" s="231"/>
      <c r="GYJ35" s="232"/>
      <c r="GYK35" s="233"/>
      <c r="GYL35" s="233"/>
      <c r="GYM35" s="233"/>
      <c r="GYN35" s="233"/>
      <c r="GYO35" s="233"/>
      <c r="GYP35" s="233"/>
      <c r="GYQ35" s="231"/>
      <c r="GYR35" s="231"/>
      <c r="GYS35" s="229"/>
      <c r="GYT35" s="230"/>
      <c r="GYU35" s="231"/>
      <c r="GYV35" s="232"/>
      <c r="GYW35" s="233"/>
      <c r="GYX35" s="233"/>
      <c r="GYY35" s="233"/>
      <c r="GYZ35" s="233"/>
      <c r="GZA35" s="233"/>
      <c r="GZB35" s="233"/>
      <c r="GZC35" s="231"/>
      <c r="GZD35" s="231"/>
      <c r="GZE35" s="229"/>
      <c r="GZF35" s="230"/>
      <c r="GZG35" s="231"/>
      <c r="GZH35" s="232"/>
      <c r="GZI35" s="233"/>
      <c r="GZJ35" s="233"/>
      <c r="GZK35" s="233"/>
      <c r="GZL35" s="233"/>
      <c r="GZM35" s="233"/>
      <c r="GZN35" s="233"/>
      <c r="GZO35" s="231"/>
      <c r="GZP35" s="231"/>
      <c r="GZQ35" s="229"/>
      <c r="GZR35" s="230"/>
      <c r="GZS35" s="231"/>
      <c r="GZT35" s="232"/>
      <c r="GZU35" s="233"/>
      <c r="GZV35" s="233"/>
      <c r="GZW35" s="233"/>
      <c r="GZX35" s="233"/>
      <c r="GZY35" s="233"/>
      <c r="GZZ35" s="233"/>
      <c r="HAA35" s="231"/>
      <c r="HAB35" s="231"/>
      <c r="HAC35" s="229"/>
      <c r="HAD35" s="230"/>
      <c r="HAE35" s="231"/>
      <c r="HAF35" s="232"/>
      <c r="HAG35" s="233"/>
      <c r="HAH35" s="233"/>
      <c r="HAI35" s="233"/>
      <c r="HAJ35" s="233"/>
      <c r="HAK35" s="233"/>
      <c r="HAL35" s="233"/>
      <c r="HAM35" s="231"/>
      <c r="HAN35" s="231"/>
      <c r="HAO35" s="229"/>
      <c r="HAP35" s="230"/>
      <c r="HAQ35" s="231"/>
      <c r="HAR35" s="232"/>
      <c r="HAS35" s="233"/>
      <c r="HAT35" s="233"/>
      <c r="HAU35" s="233"/>
      <c r="HAV35" s="233"/>
      <c r="HAW35" s="233"/>
      <c r="HAX35" s="233"/>
      <c r="HAY35" s="231"/>
      <c r="HAZ35" s="231"/>
      <c r="HBA35" s="229"/>
      <c r="HBB35" s="230"/>
      <c r="HBC35" s="231"/>
      <c r="HBD35" s="232"/>
      <c r="HBE35" s="233"/>
      <c r="HBF35" s="233"/>
      <c r="HBG35" s="233"/>
      <c r="HBH35" s="233"/>
      <c r="HBI35" s="233"/>
      <c r="HBJ35" s="233"/>
      <c r="HBK35" s="231"/>
      <c r="HBL35" s="231"/>
      <c r="HBM35" s="229"/>
      <c r="HBN35" s="230"/>
      <c r="HBO35" s="231"/>
      <c r="HBP35" s="232"/>
      <c r="HBQ35" s="233"/>
      <c r="HBR35" s="233"/>
      <c r="HBS35" s="233"/>
      <c r="HBT35" s="233"/>
      <c r="HBU35" s="233"/>
      <c r="HBV35" s="233"/>
      <c r="HBW35" s="231"/>
      <c r="HBX35" s="231"/>
      <c r="HBY35" s="229"/>
      <c r="HBZ35" s="230"/>
      <c r="HCA35" s="231"/>
      <c r="HCB35" s="232"/>
      <c r="HCC35" s="233"/>
      <c r="HCD35" s="233"/>
      <c r="HCE35" s="233"/>
      <c r="HCF35" s="233"/>
      <c r="HCG35" s="233"/>
      <c r="HCH35" s="233"/>
      <c r="HCI35" s="231"/>
      <c r="HCJ35" s="231"/>
      <c r="HCK35" s="229"/>
      <c r="HCL35" s="230"/>
      <c r="HCM35" s="231"/>
      <c r="HCN35" s="232"/>
      <c r="HCO35" s="233"/>
      <c r="HCP35" s="233"/>
      <c r="HCQ35" s="233"/>
      <c r="HCR35" s="233"/>
      <c r="HCS35" s="233"/>
      <c r="HCT35" s="233"/>
      <c r="HCU35" s="231"/>
      <c r="HCV35" s="231"/>
      <c r="HCW35" s="229"/>
      <c r="HCX35" s="230"/>
      <c r="HCY35" s="231"/>
      <c r="HCZ35" s="232"/>
      <c r="HDA35" s="233"/>
      <c r="HDB35" s="233"/>
      <c r="HDC35" s="233"/>
      <c r="HDD35" s="233"/>
      <c r="HDE35" s="233"/>
      <c r="HDF35" s="233"/>
      <c r="HDG35" s="231"/>
      <c r="HDH35" s="231"/>
      <c r="HDI35" s="229"/>
      <c r="HDJ35" s="230"/>
      <c r="HDK35" s="231"/>
      <c r="HDL35" s="232"/>
      <c r="HDM35" s="233"/>
      <c r="HDN35" s="233"/>
      <c r="HDO35" s="233"/>
      <c r="HDP35" s="233"/>
      <c r="HDQ35" s="233"/>
      <c r="HDR35" s="233"/>
      <c r="HDS35" s="231"/>
      <c r="HDT35" s="231"/>
      <c r="HDU35" s="229"/>
      <c r="HDV35" s="230"/>
      <c r="HDW35" s="231"/>
      <c r="HDX35" s="232"/>
      <c r="HDY35" s="233"/>
      <c r="HDZ35" s="233"/>
      <c r="HEA35" s="233"/>
      <c r="HEB35" s="233"/>
      <c r="HEC35" s="233"/>
      <c r="HED35" s="233"/>
      <c r="HEE35" s="231"/>
      <c r="HEF35" s="231"/>
      <c r="HEG35" s="229"/>
      <c r="HEH35" s="230"/>
      <c r="HEI35" s="231"/>
      <c r="HEJ35" s="232"/>
      <c r="HEK35" s="233"/>
      <c r="HEL35" s="233"/>
      <c r="HEM35" s="233"/>
      <c r="HEN35" s="233"/>
      <c r="HEO35" s="233"/>
      <c r="HEP35" s="233"/>
      <c r="HEQ35" s="231"/>
      <c r="HER35" s="231"/>
      <c r="HES35" s="229"/>
      <c r="HET35" s="230"/>
      <c r="HEU35" s="231"/>
      <c r="HEV35" s="232"/>
      <c r="HEW35" s="233"/>
      <c r="HEX35" s="233"/>
      <c r="HEY35" s="233"/>
      <c r="HEZ35" s="233"/>
      <c r="HFA35" s="233"/>
      <c r="HFB35" s="233"/>
      <c r="HFC35" s="231"/>
      <c r="HFD35" s="231"/>
      <c r="HFE35" s="229"/>
      <c r="HFF35" s="230"/>
      <c r="HFG35" s="231"/>
      <c r="HFH35" s="232"/>
      <c r="HFI35" s="233"/>
      <c r="HFJ35" s="233"/>
      <c r="HFK35" s="233"/>
      <c r="HFL35" s="233"/>
      <c r="HFM35" s="233"/>
      <c r="HFN35" s="233"/>
      <c r="HFO35" s="231"/>
      <c r="HFP35" s="231"/>
      <c r="HFQ35" s="229"/>
      <c r="HFR35" s="230"/>
      <c r="HFS35" s="231"/>
      <c r="HFT35" s="232"/>
      <c r="HFU35" s="233"/>
      <c r="HFV35" s="233"/>
      <c r="HFW35" s="233"/>
      <c r="HFX35" s="233"/>
      <c r="HFY35" s="233"/>
      <c r="HFZ35" s="233"/>
      <c r="HGA35" s="231"/>
      <c r="HGB35" s="231"/>
      <c r="HGC35" s="229"/>
      <c r="HGD35" s="230"/>
      <c r="HGE35" s="231"/>
      <c r="HGF35" s="232"/>
      <c r="HGG35" s="233"/>
      <c r="HGH35" s="233"/>
      <c r="HGI35" s="233"/>
      <c r="HGJ35" s="233"/>
      <c r="HGK35" s="233"/>
      <c r="HGL35" s="233"/>
      <c r="HGM35" s="231"/>
      <c r="HGN35" s="231"/>
      <c r="HGO35" s="229"/>
      <c r="HGP35" s="230"/>
      <c r="HGQ35" s="231"/>
      <c r="HGR35" s="232"/>
      <c r="HGS35" s="233"/>
      <c r="HGT35" s="233"/>
      <c r="HGU35" s="233"/>
      <c r="HGV35" s="233"/>
      <c r="HGW35" s="233"/>
      <c r="HGX35" s="233"/>
      <c r="HGY35" s="231"/>
      <c r="HGZ35" s="231"/>
      <c r="HHA35" s="229"/>
      <c r="HHB35" s="230"/>
      <c r="HHC35" s="231"/>
      <c r="HHD35" s="232"/>
      <c r="HHE35" s="233"/>
      <c r="HHF35" s="233"/>
      <c r="HHG35" s="233"/>
      <c r="HHH35" s="233"/>
      <c r="HHI35" s="233"/>
      <c r="HHJ35" s="233"/>
      <c r="HHK35" s="231"/>
      <c r="HHL35" s="231"/>
      <c r="HHM35" s="229"/>
      <c r="HHN35" s="230"/>
      <c r="HHO35" s="231"/>
      <c r="HHP35" s="232"/>
      <c r="HHQ35" s="233"/>
      <c r="HHR35" s="233"/>
      <c r="HHS35" s="233"/>
      <c r="HHT35" s="233"/>
      <c r="HHU35" s="233"/>
      <c r="HHV35" s="233"/>
      <c r="HHW35" s="231"/>
      <c r="HHX35" s="231"/>
      <c r="HHY35" s="229"/>
      <c r="HHZ35" s="230"/>
      <c r="HIA35" s="231"/>
      <c r="HIB35" s="232"/>
      <c r="HIC35" s="233"/>
      <c r="HID35" s="233"/>
      <c r="HIE35" s="233"/>
      <c r="HIF35" s="233"/>
      <c r="HIG35" s="233"/>
      <c r="HIH35" s="233"/>
      <c r="HII35" s="231"/>
      <c r="HIJ35" s="231"/>
      <c r="HIK35" s="229"/>
      <c r="HIL35" s="230"/>
      <c r="HIM35" s="231"/>
      <c r="HIN35" s="232"/>
      <c r="HIO35" s="233"/>
      <c r="HIP35" s="233"/>
      <c r="HIQ35" s="233"/>
      <c r="HIR35" s="233"/>
      <c r="HIS35" s="233"/>
      <c r="HIT35" s="233"/>
      <c r="HIU35" s="231"/>
      <c r="HIV35" s="231"/>
      <c r="HIW35" s="229"/>
      <c r="HIX35" s="230"/>
      <c r="HIY35" s="231"/>
      <c r="HIZ35" s="232"/>
      <c r="HJA35" s="233"/>
      <c r="HJB35" s="233"/>
      <c r="HJC35" s="233"/>
      <c r="HJD35" s="233"/>
      <c r="HJE35" s="233"/>
      <c r="HJF35" s="233"/>
      <c r="HJG35" s="231"/>
      <c r="HJH35" s="231"/>
      <c r="HJI35" s="229"/>
      <c r="HJJ35" s="230"/>
      <c r="HJK35" s="231"/>
      <c r="HJL35" s="232"/>
      <c r="HJM35" s="233"/>
      <c r="HJN35" s="233"/>
      <c r="HJO35" s="233"/>
      <c r="HJP35" s="233"/>
      <c r="HJQ35" s="233"/>
      <c r="HJR35" s="233"/>
      <c r="HJS35" s="231"/>
      <c r="HJT35" s="231"/>
      <c r="HJU35" s="229"/>
      <c r="HJV35" s="230"/>
      <c r="HJW35" s="231"/>
      <c r="HJX35" s="232"/>
      <c r="HJY35" s="233"/>
      <c r="HJZ35" s="233"/>
      <c r="HKA35" s="233"/>
      <c r="HKB35" s="233"/>
      <c r="HKC35" s="233"/>
      <c r="HKD35" s="233"/>
      <c r="HKE35" s="231"/>
      <c r="HKF35" s="231"/>
      <c r="HKG35" s="229"/>
      <c r="HKH35" s="230"/>
      <c r="HKI35" s="231"/>
      <c r="HKJ35" s="232"/>
      <c r="HKK35" s="233"/>
      <c r="HKL35" s="233"/>
      <c r="HKM35" s="233"/>
      <c r="HKN35" s="233"/>
      <c r="HKO35" s="233"/>
      <c r="HKP35" s="233"/>
      <c r="HKQ35" s="231"/>
      <c r="HKR35" s="231"/>
      <c r="HKS35" s="229"/>
      <c r="HKT35" s="230"/>
      <c r="HKU35" s="231"/>
      <c r="HKV35" s="232"/>
      <c r="HKW35" s="233"/>
      <c r="HKX35" s="233"/>
      <c r="HKY35" s="233"/>
      <c r="HKZ35" s="233"/>
      <c r="HLA35" s="233"/>
      <c r="HLB35" s="233"/>
      <c r="HLC35" s="231"/>
      <c r="HLD35" s="231"/>
      <c r="HLE35" s="229"/>
      <c r="HLF35" s="230"/>
      <c r="HLG35" s="231"/>
      <c r="HLH35" s="232"/>
      <c r="HLI35" s="233"/>
      <c r="HLJ35" s="233"/>
      <c r="HLK35" s="233"/>
      <c r="HLL35" s="233"/>
      <c r="HLM35" s="233"/>
      <c r="HLN35" s="233"/>
      <c r="HLO35" s="231"/>
      <c r="HLP35" s="231"/>
      <c r="HLQ35" s="229"/>
      <c r="HLR35" s="230"/>
      <c r="HLS35" s="231"/>
      <c r="HLT35" s="232"/>
      <c r="HLU35" s="233"/>
      <c r="HLV35" s="233"/>
      <c r="HLW35" s="233"/>
      <c r="HLX35" s="233"/>
      <c r="HLY35" s="233"/>
      <c r="HLZ35" s="233"/>
      <c r="HMA35" s="231"/>
      <c r="HMB35" s="231"/>
      <c r="HMC35" s="229"/>
      <c r="HMD35" s="230"/>
      <c r="HME35" s="231"/>
      <c r="HMF35" s="232"/>
      <c r="HMG35" s="233"/>
      <c r="HMH35" s="233"/>
      <c r="HMI35" s="233"/>
      <c r="HMJ35" s="233"/>
      <c r="HMK35" s="233"/>
      <c r="HML35" s="233"/>
      <c r="HMM35" s="231"/>
      <c r="HMN35" s="231"/>
      <c r="HMO35" s="229"/>
      <c r="HMP35" s="230"/>
      <c r="HMQ35" s="231"/>
      <c r="HMR35" s="232"/>
      <c r="HMS35" s="233"/>
      <c r="HMT35" s="233"/>
      <c r="HMU35" s="233"/>
      <c r="HMV35" s="233"/>
      <c r="HMW35" s="233"/>
      <c r="HMX35" s="233"/>
      <c r="HMY35" s="231"/>
      <c r="HMZ35" s="231"/>
      <c r="HNA35" s="229"/>
      <c r="HNB35" s="230"/>
      <c r="HNC35" s="231"/>
      <c r="HND35" s="232"/>
      <c r="HNE35" s="233"/>
      <c r="HNF35" s="233"/>
      <c r="HNG35" s="233"/>
      <c r="HNH35" s="233"/>
      <c r="HNI35" s="233"/>
      <c r="HNJ35" s="233"/>
      <c r="HNK35" s="231"/>
      <c r="HNL35" s="231"/>
      <c r="HNM35" s="229"/>
      <c r="HNN35" s="230"/>
      <c r="HNO35" s="231"/>
      <c r="HNP35" s="232"/>
      <c r="HNQ35" s="233"/>
      <c r="HNR35" s="233"/>
      <c r="HNS35" s="233"/>
      <c r="HNT35" s="233"/>
      <c r="HNU35" s="233"/>
      <c r="HNV35" s="233"/>
      <c r="HNW35" s="231"/>
      <c r="HNX35" s="231"/>
      <c r="HNY35" s="229"/>
      <c r="HNZ35" s="230"/>
      <c r="HOA35" s="231"/>
      <c r="HOB35" s="232"/>
      <c r="HOC35" s="233"/>
      <c r="HOD35" s="233"/>
      <c r="HOE35" s="233"/>
      <c r="HOF35" s="233"/>
      <c r="HOG35" s="233"/>
      <c r="HOH35" s="233"/>
      <c r="HOI35" s="231"/>
      <c r="HOJ35" s="231"/>
      <c r="HOK35" s="229"/>
      <c r="HOL35" s="230"/>
      <c r="HOM35" s="231"/>
      <c r="HON35" s="232"/>
      <c r="HOO35" s="233"/>
      <c r="HOP35" s="233"/>
      <c r="HOQ35" s="233"/>
      <c r="HOR35" s="233"/>
      <c r="HOS35" s="233"/>
      <c r="HOT35" s="233"/>
      <c r="HOU35" s="231"/>
      <c r="HOV35" s="231"/>
      <c r="HOW35" s="229"/>
      <c r="HOX35" s="230"/>
      <c r="HOY35" s="231"/>
      <c r="HOZ35" s="232"/>
      <c r="HPA35" s="233"/>
      <c r="HPB35" s="233"/>
      <c r="HPC35" s="233"/>
      <c r="HPD35" s="233"/>
      <c r="HPE35" s="233"/>
      <c r="HPF35" s="233"/>
      <c r="HPG35" s="231"/>
      <c r="HPH35" s="231"/>
      <c r="HPI35" s="229"/>
      <c r="HPJ35" s="230"/>
      <c r="HPK35" s="231"/>
      <c r="HPL35" s="232"/>
      <c r="HPM35" s="233"/>
      <c r="HPN35" s="233"/>
      <c r="HPO35" s="233"/>
      <c r="HPP35" s="233"/>
      <c r="HPQ35" s="233"/>
      <c r="HPR35" s="233"/>
      <c r="HPS35" s="231"/>
      <c r="HPT35" s="231"/>
      <c r="HPU35" s="229"/>
      <c r="HPV35" s="230"/>
      <c r="HPW35" s="231"/>
      <c r="HPX35" s="232"/>
      <c r="HPY35" s="233"/>
      <c r="HPZ35" s="233"/>
      <c r="HQA35" s="233"/>
      <c r="HQB35" s="233"/>
      <c r="HQC35" s="233"/>
      <c r="HQD35" s="233"/>
      <c r="HQE35" s="231"/>
      <c r="HQF35" s="231"/>
      <c r="HQG35" s="229"/>
      <c r="HQH35" s="230"/>
      <c r="HQI35" s="231"/>
      <c r="HQJ35" s="232"/>
      <c r="HQK35" s="233"/>
      <c r="HQL35" s="233"/>
      <c r="HQM35" s="233"/>
      <c r="HQN35" s="233"/>
      <c r="HQO35" s="233"/>
      <c r="HQP35" s="233"/>
      <c r="HQQ35" s="231"/>
      <c r="HQR35" s="231"/>
      <c r="HQS35" s="229"/>
      <c r="HQT35" s="230"/>
      <c r="HQU35" s="231"/>
      <c r="HQV35" s="232"/>
      <c r="HQW35" s="233"/>
      <c r="HQX35" s="233"/>
      <c r="HQY35" s="233"/>
      <c r="HQZ35" s="233"/>
      <c r="HRA35" s="233"/>
      <c r="HRB35" s="233"/>
      <c r="HRC35" s="231"/>
      <c r="HRD35" s="231"/>
      <c r="HRE35" s="229"/>
      <c r="HRF35" s="230"/>
      <c r="HRG35" s="231"/>
      <c r="HRH35" s="232"/>
      <c r="HRI35" s="233"/>
      <c r="HRJ35" s="233"/>
      <c r="HRK35" s="233"/>
      <c r="HRL35" s="233"/>
      <c r="HRM35" s="233"/>
      <c r="HRN35" s="233"/>
      <c r="HRO35" s="231"/>
      <c r="HRP35" s="231"/>
      <c r="HRQ35" s="229"/>
      <c r="HRR35" s="230"/>
      <c r="HRS35" s="231"/>
      <c r="HRT35" s="232"/>
      <c r="HRU35" s="233"/>
      <c r="HRV35" s="233"/>
      <c r="HRW35" s="233"/>
      <c r="HRX35" s="233"/>
      <c r="HRY35" s="233"/>
      <c r="HRZ35" s="233"/>
      <c r="HSA35" s="231"/>
      <c r="HSB35" s="231"/>
      <c r="HSC35" s="229"/>
      <c r="HSD35" s="230"/>
      <c r="HSE35" s="231"/>
      <c r="HSF35" s="232"/>
      <c r="HSG35" s="233"/>
      <c r="HSH35" s="233"/>
      <c r="HSI35" s="233"/>
      <c r="HSJ35" s="233"/>
      <c r="HSK35" s="233"/>
      <c r="HSL35" s="233"/>
      <c r="HSM35" s="231"/>
      <c r="HSN35" s="231"/>
      <c r="HSO35" s="229"/>
      <c r="HSP35" s="230"/>
      <c r="HSQ35" s="231"/>
      <c r="HSR35" s="232"/>
      <c r="HSS35" s="233"/>
      <c r="HST35" s="233"/>
      <c r="HSU35" s="233"/>
      <c r="HSV35" s="233"/>
      <c r="HSW35" s="233"/>
      <c r="HSX35" s="233"/>
      <c r="HSY35" s="231"/>
      <c r="HSZ35" s="231"/>
      <c r="HTA35" s="229"/>
      <c r="HTB35" s="230"/>
      <c r="HTC35" s="231"/>
      <c r="HTD35" s="232"/>
      <c r="HTE35" s="233"/>
      <c r="HTF35" s="233"/>
      <c r="HTG35" s="233"/>
      <c r="HTH35" s="233"/>
      <c r="HTI35" s="233"/>
      <c r="HTJ35" s="233"/>
      <c r="HTK35" s="231"/>
      <c r="HTL35" s="231"/>
      <c r="HTM35" s="229"/>
      <c r="HTN35" s="230"/>
      <c r="HTO35" s="231"/>
      <c r="HTP35" s="232"/>
      <c r="HTQ35" s="233"/>
      <c r="HTR35" s="233"/>
      <c r="HTS35" s="233"/>
      <c r="HTT35" s="233"/>
      <c r="HTU35" s="233"/>
      <c r="HTV35" s="233"/>
      <c r="HTW35" s="231"/>
      <c r="HTX35" s="231"/>
      <c r="HTY35" s="229"/>
      <c r="HTZ35" s="230"/>
      <c r="HUA35" s="231"/>
      <c r="HUB35" s="232"/>
      <c r="HUC35" s="233"/>
      <c r="HUD35" s="233"/>
      <c r="HUE35" s="233"/>
      <c r="HUF35" s="233"/>
      <c r="HUG35" s="233"/>
      <c r="HUH35" s="233"/>
      <c r="HUI35" s="231"/>
      <c r="HUJ35" s="231"/>
      <c r="HUK35" s="229"/>
      <c r="HUL35" s="230"/>
      <c r="HUM35" s="231"/>
      <c r="HUN35" s="232"/>
      <c r="HUO35" s="233"/>
      <c r="HUP35" s="233"/>
      <c r="HUQ35" s="233"/>
      <c r="HUR35" s="233"/>
      <c r="HUS35" s="233"/>
      <c r="HUT35" s="233"/>
      <c r="HUU35" s="231"/>
      <c r="HUV35" s="231"/>
      <c r="HUW35" s="229"/>
      <c r="HUX35" s="230"/>
      <c r="HUY35" s="231"/>
      <c r="HUZ35" s="232"/>
      <c r="HVA35" s="233"/>
      <c r="HVB35" s="233"/>
      <c r="HVC35" s="233"/>
      <c r="HVD35" s="233"/>
      <c r="HVE35" s="233"/>
      <c r="HVF35" s="233"/>
      <c r="HVG35" s="231"/>
      <c r="HVH35" s="231"/>
      <c r="HVI35" s="229"/>
      <c r="HVJ35" s="230"/>
      <c r="HVK35" s="231"/>
      <c r="HVL35" s="232"/>
      <c r="HVM35" s="233"/>
      <c r="HVN35" s="233"/>
      <c r="HVO35" s="233"/>
      <c r="HVP35" s="233"/>
      <c r="HVQ35" s="233"/>
      <c r="HVR35" s="233"/>
      <c r="HVS35" s="231"/>
      <c r="HVT35" s="231"/>
      <c r="HVU35" s="229"/>
      <c r="HVV35" s="230"/>
      <c r="HVW35" s="231"/>
      <c r="HVX35" s="232"/>
      <c r="HVY35" s="233"/>
      <c r="HVZ35" s="233"/>
      <c r="HWA35" s="233"/>
      <c r="HWB35" s="233"/>
      <c r="HWC35" s="233"/>
      <c r="HWD35" s="233"/>
      <c r="HWE35" s="231"/>
      <c r="HWF35" s="231"/>
      <c r="HWG35" s="229"/>
      <c r="HWH35" s="230"/>
      <c r="HWI35" s="231"/>
      <c r="HWJ35" s="232"/>
      <c r="HWK35" s="233"/>
      <c r="HWL35" s="233"/>
      <c r="HWM35" s="233"/>
      <c r="HWN35" s="233"/>
      <c r="HWO35" s="233"/>
      <c r="HWP35" s="233"/>
      <c r="HWQ35" s="231"/>
      <c r="HWR35" s="231"/>
      <c r="HWS35" s="229"/>
      <c r="HWT35" s="230"/>
      <c r="HWU35" s="231"/>
      <c r="HWV35" s="232"/>
      <c r="HWW35" s="233"/>
      <c r="HWX35" s="233"/>
      <c r="HWY35" s="233"/>
      <c r="HWZ35" s="233"/>
      <c r="HXA35" s="233"/>
      <c r="HXB35" s="233"/>
      <c r="HXC35" s="231"/>
      <c r="HXD35" s="231"/>
      <c r="HXE35" s="229"/>
      <c r="HXF35" s="230"/>
      <c r="HXG35" s="231"/>
      <c r="HXH35" s="232"/>
      <c r="HXI35" s="233"/>
      <c r="HXJ35" s="233"/>
      <c r="HXK35" s="233"/>
      <c r="HXL35" s="233"/>
      <c r="HXM35" s="233"/>
      <c r="HXN35" s="233"/>
      <c r="HXO35" s="231"/>
      <c r="HXP35" s="231"/>
      <c r="HXQ35" s="229"/>
      <c r="HXR35" s="230"/>
      <c r="HXS35" s="231"/>
      <c r="HXT35" s="232"/>
      <c r="HXU35" s="233"/>
      <c r="HXV35" s="233"/>
      <c r="HXW35" s="233"/>
      <c r="HXX35" s="233"/>
      <c r="HXY35" s="233"/>
      <c r="HXZ35" s="233"/>
      <c r="HYA35" s="231"/>
      <c r="HYB35" s="231"/>
      <c r="HYC35" s="229"/>
      <c r="HYD35" s="230"/>
      <c r="HYE35" s="231"/>
      <c r="HYF35" s="232"/>
      <c r="HYG35" s="233"/>
      <c r="HYH35" s="233"/>
      <c r="HYI35" s="233"/>
      <c r="HYJ35" s="233"/>
      <c r="HYK35" s="233"/>
      <c r="HYL35" s="233"/>
      <c r="HYM35" s="231"/>
      <c r="HYN35" s="231"/>
      <c r="HYO35" s="229"/>
      <c r="HYP35" s="230"/>
      <c r="HYQ35" s="231"/>
      <c r="HYR35" s="232"/>
      <c r="HYS35" s="233"/>
      <c r="HYT35" s="233"/>
      <c r="HYU35" s="233"/>
      <c r="HYV35" s="233"/>
      <c r="HYW35" s="233"/>
      <c r="HYX35" s="233"/>
      <c r="HYY35" s="231"/>
      <c r="HYZ35" s="231"/>
      <c r="HZA35" s="229"/>
      <c r="HZB35" s="230"/>
      <c r="HZC35" s="231"/>
      <c r="HZD35" s="232"/>
      <c r="HZE35" s="233"/>
      <c r="HZF35" s="233"/>
      <c r="HZG35" s="233"/>
      <c r="HZH35" s="233"/>
      <c r="HZI35" s="233"/>
      <c r="HZJ35" s="233"/>
      <c r="HZK35" s="231"/>
      <c r="HZL35" s="231"/>
      <c r="HZM35" s="229"/>
      <c r="HZN35" s="230"/>
      <c r="HZO35" s="231"/>
      <c r="HZP35" s="232"/>
      <c r="HZQ35" s="233"/>
      <c r="HZR35" s="233"/>
      <c r="HZS35" s="233"/>
      <c r="HZT35" s="233"/>
      <c r="HZU35" s="233"/>
      <c r="HZV35" s="233"/>
      <c r="HZW35" s="231"/>
      <c r="HZX35" s="231"/>
      <c r="HZY35" s="229"/>
      <c r="HZZ35" s="230"/>
      <c r="IAA35" s="231"/>
      <c r="IAB35" s="232"/>
      <c r="IAC35" s="233"/>
      <c r="IAD35" s="233"/>
      <c r="IAE35" s="233"/>
      <c r="IAF35" s="233"/>
      <c r="IAG35" s="233"/>
      <c r="IAH35" s="233"/>
      <c r="IAI35" s="231"/>
      <c r="IAJ35" s="231"/>
      <c r="IAK35" s="229"/>
      <c r="IAL35" s="230"/>
      <c r="IAM35" s="231"/>
      <c r="IAN35" s="232"/>
      <c r="IAO35" s="233"/>
      <c r="IAP35" s="233"/>
      <c r="IAQ35" s="233"/>
      <c r="IAR35" s="233"/>
      <c r="IAS35" s="233"/>
      <c r="IAT35" s="233"/>
      <c r="IAU35" s="231"/>
      <c r="IAV35" s="231"/>
      <c r="IAW35" s="229"/>
      <c r="IAX35" s="230"/>
      <c r="IAY35" s="231"/>
      <c r="IAZ35" s="232"/>
      <c r="IBA35" s="233"/>
      <c r="IBB35" s="233"/>
      <c r="IBC35" s="233"/>
      <c r="IBD35" s="233"/>
      <c r="IBE35" s="233"/>
      <c r="IBF35" s="233"/>
      <c r="IBG35" s="231"/>
      <c r="IBH35" s="231"/>
      <c r="IBI35" s="229"/>
      <c r="IBJ35" s="230"/>
      <c r="IBK35" s="231"/>
      <c r="IBL35" s="232"/>
      <c r="IBM35" s="233"/>
      <c r="IBN35" s="233"/>
      <c r="IBO35" s="233"/>
      <c r="IBP35" s="233"/>
      <c r="IBQ35" s="233"/>
      <c r="IBR35" s="233"/>
      <c r="IBS35" s="231"/>
      <c r="IBT35" s="231"/>
      <c r="IBU35" s="229"/>
      <c r="IBV35" s="230"/>
      <c r="IBW35" s="231"/>
      <c r="IBX35" s="232"/>
      <c r="IBY35" s="233"/>
      <c r="IBZ35" s="233"/>
      <c r="ICA35" s="233"/>
      <c r="ICB35" s="233"/>
      <c r="ICC35" s="233"/>
      <c r="ICD35" s="233"/>
      <c r="ICE35" s="231"/>
      <c r="ICF35" s="231"/>
      <c r="ICG35" s="229"/>
      <c r="ICH35" s="230"/>
      <c r="ICI35" s="231"/>
      <c r="ICJ35" s="232"/>
      <c r="ICK35" s="233"/>
      <c r="ICL35" s="233"/>
      <c r="ICM35" s="233"/>
      <c r="ICN35" s="233"/>
      <c r="ICO35" s="233"/>
      <c r="ICP35" s="233"/>
      <c r="ICQ35" s="231"/>
      <c r="ICR35" s="231"/>
      <c r="ICS35" s="229"/>
      <c r="ICT35" s="230"/>
      <c r="ICU35" s="231"/>
      <c r="ICV35" s="232"/>
      <c r="ICW35" s="233"/>
      <c r="ICX35" s="233"/>
      <c r="ICY35" s="233"/>
      <c r="ICZ35" s="233"/>
      <c r="IDA35" s="233"/>
      <c r="IDB35" s="233"/>
      <c r="IDC35" s="231"/>
      <c r="IDD35" s="231"/>
      <c r="IDE35" s="229"/>
      <c r="IDF35" s="230"/>
      <c r="IDG35" s="231"/>
      <c r="IDH35" s="232"/>
      <c r="IDI35" s="233"/>
      <c r="IDJ35" s="233"/>
      <c r="IDK35" s="233"/>
      <c r="IDL35" s="233"/>
      <c r="IDM35" s="233"/>
      <c r="IDN35" s="233"/>
      <c r="IDO35" s="231"/>
      <c r="IDP35" s="231"/>
      <c r="IDQ35" s="229"/>
      <c r="IDR35" s="230"/>
      <c r="IDS35" s="231"/>
      <c r="IDT35" s="232"/>
      <c r="IDU35" s="233"/>
      <c r="IDV35" s="233"/>
      <c r="IDW35" s="233"/>
      <c r="IDX35" s="233"/>
      <c r="IDY35" s="233"/>
      <c r="IDZ35" s="233"/>
      <c r="IEA35" s="231"/>
      <c r="IEB35" s="231"/>
      <c r="IEC35" s="229"/>
      <c r="IED35" s="230"/>
      <c r="IEE35" s="231"/>
      <c r="IEF35" s="232"/>
      <c r="IEG35" s="233"/>
      <c r="IEH35" s="233"/>
      <c r="IEI35" s="233"/>
      <c r="IEJ35" s="233"/>
      <c r="IEK35" s="233"/>
      <c r="IEL35" s="233"/>
      <c r="IEM35" s="231"/>
      <c r="IEN35" s="231"/>
      <c r="IEO35" s="229"/>
      <c r="IEP35" s="230"/>
      <c r="IEQ35" s="231"/>
      <c r="IER35" s="232"/>
      <c r="IES35" s="233"/>
      <c r="IET35" s="233"/>
      <c r="IEU35" s="233"/>
      <c r="IEV35" s="233"/>
      <c r="IEW35" s="233"/>
      <c r="IEX35" s="233"/>
      <c r="IEY35" s="231"/>
      <c r="IEZ35" s="231"/>
      <c r="IFA35" s="229"/>
      <c r="IFB35" s="230"/>
      <c r="IFC35" s="231"/>
      <c r="IFD35" s="232"/>
      <c r="IFE35" s="233"/>
      <c r="IFF35" s="233"/>
      <c r="IFG35" s="233"/>
      <c r="IFH35" s="233"/>
      <c r="IFI35" s="233"/>
      <c r="IFJ35" s="233"/>
      <c r="IFK35" s="231"/>
      <c r="IFL35" s="231"/>
      <c r="IFM35" s="229"/>
      <c r="IFN35" s="230"/>
      <c r="IFO35" s="231"/>
      <c r="IFP35" s="232"/>
      <c r="IFQ35" s="233"/>
      <c r="IFR35" s="233"/>
      <c r="IFS35" s="233"/>
      <c r="IFT35" s="233"/>
      <c r="IFU35" s="233"/>
      <c r="IFV35" s="233"/>
      <c r="IFW35" s="231"/>
      <c r="IFX35" s="231"/>
      <c r="IFY35" s="229"/>
      <c r="IFZ35" s="230"/>
      <c r="IGA35" s="231"/>
      <c r="IGB35" s="232"/>
      <c r="IGC35" s="233"/>
      <c r="IGD35" s="233"/>
      <c r="IGE35" s="233"/>
      <c r="IGF35" s="233"/>
      <c r="IGG35" s="233"/>
      <c r="IGH35" s="233"/>
      <c r="IGI35" s="231"/>
      <c r="IGJ35" s="231"/>
      <c r="IGK35" s="229"/>
      <c r="IGL35" s="230"/>
      <c r="IGM35" s="231"/>
      <c r="IGN35" s="232"/>
      <c r="IGO35" s="233"/>
      <c r="IGP35" s="233"/>
      <c r="IGQ35" s="233"/>
      <c r="IGR35" s="233"/>
      <c r="IGS35" s="233"/>
      <c r="IGT35" s="233"/>
      <c r="IGU35" s="231"/>
      <c r="IGV35" s="231"/>
      <c r="IGW35" s="229"/>
      <c r="IGX35" s="230"/>
      <c r="IGY35" s="231"/>
      <c r="IGZ35" s="232"/>
      <c r="IHA35" s="233"/>
      <c r="IHB35" s="233"/>
      <c r="IHC35" s="233"/>
      <c r="IHD35" s="233"/>
      <c r="IHE35" s="233"/>
      <c r="IHF35" s="233"/>
      <c r="IHG35" s="231"/>
      <c r="IHH35" s="231"/>
      <c r="IHI35" s="229"/>
      <c r="IHJ35" s="230"/>
      <c r="IHK35" s="231"/>
      <c r="IHL35" s="232"/>
      <c r="IHM35" s="233"/>
      <c r="IHN35" s="233"/>
      <c r="IHO35" s="233"/>
      <c r="IHP35" s="233"/>
      <c r="IHQ35" s="233"/>
      <c r="IHR35" s="233"/>
      <c r="IHS35" s="231"/>
      <c r="IHT35" s="231"/>
      <c r="IHU35" s="229"/>
      <c r="IHV35" s="230"/>
      <c r="IHW35" s="231"/>
      <c r="IHX35" s="232"/>
      <c r="IHY35" s="233"/>
      <c r="IHZ35" s="233"/>
      <c r="IIA35" s="233"/>
      <c r="IIB35" s="233"/>
      <c r="IIC35" s="233"/>
      <c r="IID35" s="233"/>
      <c r="IIE35" s="231"/>
      <c r="IIF35" s="231"/>
      <c r="IIG35" s="229"/>
      <c r="IIH35" s="230"/>
      <c r="III35" s="231"/>
      <c r="IIJ35" s="232"/>
      <c r="IIK35" s="233"/>
      <c r="IIL35" s="233"/>
      <c r="IIM35" s="233"/>
      <c r="IIN35" s="233"/>
      <c r="IIO35" s="233"/>
      <c r="IIP35" s="233"/>
      <c r="IIQ35" s="231"/>
      <c r="IIR35" s="231"/>
      <c r="IIS35" s="229"/>
      <c r="IIT35" s="230"/>
      <c r="IIU35" s="231"/>
      <c r="IIV35" s="232"/>
      <c r="IIW35" s="233"/>
      <c r="IIX35" s="233"/>
      <c r="IIY35" s="233"/>
      <c r="IIZ35" s="233"/>
      <c r="IJA35" s="233"/>
      <c r="IJB35" s="233"/>
      <c r="IJC35" s="231"/>
      <c r="IJD35" s="231"/>
      <c r="IJE35" s="229"/>
      <c r="IJF35" s="230"/>
      <c r="IJG35" s="231"/>
      <c r="IJH35" s="232"/>
      <c r="IJI35" s="233"/>
      <c r="IJJ35" s="233"/>
      <c r="IJK35" s="233"/>
      <c r="IJL35" s="233"/>
      <c r="IJM35" s="233"/>
      <c r="IJN35" s="233"/>
      <c r="IJO35" s="231"/>
      <c r="IJP35" s="231"/>
      <c r="IJQ35" s="229"/>
      <c r="IJR35" s="230"/>
      <c r="IJS35" s="231"/>
      <c r="IJT35" s="232"/>
      <c r="IJU35" s="233"/>
      <c r="IJV35" s="233"/>
      <c r="IJW35" s="233"/>
      <c r="IJX35" s="233"/>
      <c r="IJY35" s="233"/>
      <c r="IJZ35" s="233"/>
      <c r="IKA35" s="231"/>
      <c r="IKB35" s="231"/>
      <c r="IKC35" s="229"/>
      <c r="IKD35" s="230"/>
      <c r="IKE35" s="231"/>
      <c r="IKF35" s="232"/>
      <c r="IKG35" s="233"/>
      <c r="IKH35" s="233"/>
      <c r="IKI35" s="233"/>
      <c r="IKJ35" s="233"/>
      <c r="IKK35" s="233"/>
      <c r="IKL35" s="233"/>
      <c r="IKM35" s="231"/>
      <c r="IKN35" s="231"/>
      <c r="IKO35" s="229"/>
      <c r="IKP35" s="230"/>
      <c r="IKQ35" s="231"/>
      <c r="IKR35" s="232"/>
      <c r="IKS35" s="233"/>
      <c r="IKT35" s="233"/>
      <c r="IKU35" s="233"/>
      <c r="IKV35" s="233"/>
      <c r="IKW35" s="233"/>
      <c r="IKX35" s="233"/>
      <c r="IKY35" s="231"/>
      <c r="IKZ35" s="231"/>
      <c r="ILA35" s="229"/>
      <c r="ILB35" s="230"/>
      <c r="ILC35" s="231"/>
      <c r="ILD35" s="232"/>
      <c r="ILE35" s="233"/>
      <c r="ILF35" s="233"/>
      <c r="ILG35" s="233"/>
      <c r="ILH35" s="233"/>
      <c r="ILI35" s="233"/>
      <c r="ILJ35" s="233"/>
      <c r="ILK35" s="231"/>
      <c r="ILL35" s="231"/>
      <c r="ILM35" s="229"/>
      <c r="ILN35" s="230"/>
      <c r="ILO35" s="231"/>
      <c r="ILP35" s="232"/>
      <c r="ILQ35" s="233"/>
      <c r="ILR35" s="233"/>
      <c r="ILS35" s="233"/>
      <c r="ILT35" s="233"/>
      <c r="ILU35" s="233"/>
      <c r="ILV35" s="233"/>
      <c r="ILW35" s="231"/>
      <c r="ILX35" s="231"/>
      <c r="ILY35" s="229"/>
      <c r="ILZ35" s="230"/>
      <c r="IMA35" s="231"/>
      <c r="IMB35" s="232"/>
      <c r="IMC35" s="233"/>
      <c r="IMD35" s="233"/>
      <c r="IME35" s="233"/>
      <c r="IMF35" s="233"/>
      <c r="IMG35" s="233"/>
      <c r="IMH35" s="233"/>
      <c r="IMI35" s="231"/>
      <c r="IMJ35" s="231"/>
      <c r="IMK35" s="229"/>
      <c r="IML35" s="230"/>
      <c r="IMM35" s="231"/>
      <c r="IMN35" s="232"/>
      <c r="IMO35" s="233"/>
      <c r="IMP35" s="233"/>
      <c r="IMQ35" s="233"/>
      <c r="IMR35" s="233"/>
      <c r="IMS35" s="233"/>
      <c r="IMT35" s="233"/>
      <c r="IMU35" s="231"/>
      <c r="IMV35" s="231"/>
      <c r="IMW35" s="229"/>
      <c r="IMX35" s="230"/>
      <c r="IMY35" s="231"/>
      <c r="IMZ35" s="232"/>
      <c r="INA35" s="233"/>
      <c r="INB35" s="233"/>
      <c r="INC35" s="233"/>
      <c r="IND35" s="233"/>
      <c r="INE35" s="233"/>
      <c r="INF35" s="233"/>
      <c r="ING35" s="231"/>
      <c r="INH35" s="231"/>
      <c r="INI35" s="229"/>
      <c r="INJ35" s="230"/>
      <c r="INK35" s="231"/>
      <c r="INL35" s="232"/>
      <c r="INM35" s="233"/>
      <c r="INN35" s="233"/>
      <c r="INO35" s="233"/>
      <c r="INP35" s="233"/>
      <c r="INQ35" s="233"/>
      <c r="INR35" s="233"/>
      <c r="INS35" s="231"/>
      <c r="INT35" s="231"/>
      <c r="INU35" s="229"/>
      <c r="INV35" s="230"/>
      <c r="INW35" s="231"/>
      <c r="INX35" s="232"/>
      <c r="INY35" s="233"/>
      <c r="INZ35" s="233"/>
      <c r="IOA35" s="233"/>
      <c r="IOB35" s="233"/>
      <c r="IOC35" s="233"/>
      <c r="IOD35" s="233"/>
      <c r="IOE35" s="231"/>
      <c r="IOF35" s="231"/>
      <c r="IOG35" s="229"/>
      <c r="IOH35" s="230"/>
      <c r="IOI35" s="231"/>
      <c r="IOJ35" s="232"/>
      <c r="IOK35" s="233"/>
      <c r="IOL35" s="233"/>
      <c r="IOM35" s="233"/>
      <c r="ION35" s="233"/>
      <c r="IOO35" s="233"/>
      <c r="IOP35" s="233"/>
      <c r="IOQ35" s="231"/>
      <c r="IOR35" s="231"/>
      <c r="IOS35" s="229"/>
      <c r="IOT35" s="230"/>
      <c r="IOU35" s="231"/>
      <c r="IOV35" s="232"/>
      <c r="IOW35" s="233"/>
      <c r="IOX35" s="233"/>
      <c r="IOY35" s="233"/>
      <c r="IOZ35" s="233"/>
      <c r="IPA35" s="233"/>
      <c r="IPB35" s="233"/>
      <c r="IPC35" s="231"/>
      <c r="IPD35" s="231"/>
      <c r="IPE35" s="229"/>
      <c r="IPF35" s="230"/>
      <c r="IPG35" s="231"/>
      <c r="IPH35" s="232"/>
      <c r="IPI35" s="233"/>
      <c r="IPJ35" s="233"/>
      <c r="IPK35" s="233"/>
      <c r="IPL35" s="233"/>
      <c r="IPM35" s="233"/>
      <c r="IPN35" s="233"/>
      <c r="IPO35" s="231"/>
      <c r="IPP35" s="231"/>
      <c r="IPQ35" s="229"/>
      <c r="IPR35" s="230"/>
      <c r="IPS35" s="231"/>
      <c r="IPT35" s="232"/>
      <c r="IPU35" s="233"/>
      <c r="IPV35" s="233"/>
      <c r="IPW35" s="233"/>
      <c r="IPX35" s="233"/>
      <c r="IPY35" s="233"/>
      <c r="IPZ35" s="233"/>
      <c r="IQA35" s="231"/>
      <c r="IQB35" s="231"/>
      <c r="IQC35" s="229"/>
      <c r="IQD35" s="230"/>
      <c r="IQE35" s="231"/>
      <c r="IQF35" s="232"/>
      <c r="IQG35" s="233"/>
      <c r="IQH35" s="233"/>
      <c r="IQI35" s="233"/>
      <c r="IQJ35" s="233"/>
      <c r="IQK35" s="233"/>
      <c r="IQL35" s="233"/>
      <c r="IQM35" s="231"/>
      <c r="IQN35" s="231"/>
      <c r="IQO35" s="229"/>
      <c r="IQP35" s="230"/>
      <c r="IQQ35" s="231"/>
      <c r="IQR35" s="232"/>
      <c r="IQS35" s="233"/>
      <c r="IQT35" s="233"/>
      <c r="IQU35" s="233"/>
      <c r="IQV35" s="233"/>
      <c r="IQW35" s="233"/>
      <c r="IQX35" s="233"/>
      <c r="IQY35" s="231"/>
      <c r="IQZ35" s="231"/>
      <c r="IRA35" s="229"/>
      <c r="IRB35" s="230"/>
      <c r="IRC35" s="231"/>
      <c r="IRD35" s="232"/>
      <c r="IRE35" s="233"/>
      <c r="IRF35" s="233"/>
      <c r="IRG35" s="233"/>
      <c r="IRH35" s="233"/>
      <c r="IRI35" s="233"/>
      <c r="IRJ35" s="233"/>
      <c r="IRK35" s="231"/>
      <c r="IRL35" s="231"/>
      <c r="IRM35" s="229"/>
      <c r="IRN35" s="230"/>
      <c r="IRO35" s="231"/>
      <c r="IRP35" s="232"/>
      <c r="IRQ35" s="233"/>
      <c r="IRR35" s="233"/>
      <c r="IRS35" s="233"/>
      <c r="IRT35" s="233"/>
      <c r="IRU35" s="233"/>
      <c r="IRV35" s="233"/>
      <c r="IRW35" s="231"/>
      <c r="IRX35" s="231"/>
      <c r="IRY35" s="229"/>
      <c r="IRZ35" s="230"/>
      <c r="ISA35" s="231"/>
      <c r="ISB35" s="232"/>
      <c r="ISC35" s="233"/>
      <c r="ISD35" s="233"/>
      <c r="ISE35" s="233"/>
      <c r="ISF35" s="233"/>
      <c r="ISG35" s="233"/>
      <c r="ISH35" s="233"/>
      <c r="ISI35" s="231"/>
      <c r="ISJ35" s="231"/>
      <c r="ISK35" s="229"/>
      <c r="ISL35" s="230"/>
      <c r="ISM35" s="231"/>
      <c r="ISN35" s="232"/>
      <c r="ISO35" s="233"/>
      <c r="ISP35" s="233"/>
      <c r="ISQ35" s="233"/>
      <c r="ISR35" s="233"/>
      <c r="ISS35" s="233"/>
      <c r="IST35" s="233"/>
      <c r="ISU35" s="231"/>
      <c r="ISV35" s="231"/>
      <c r="ISW35" s="229"/>
      <c r="ISX35" s="230"/>
      <c r="ISY35" s="231"/>
      <c r="ISZ35" s="232"/>
      <c r="ITA35" s="233"/>
      <c r="ITB35" s="233"/>
      <c r="ITC35" s="233"/>
      <c r="ITD35" s="233"/>
      <c r="ITE35" s="233"/>
      <c r="ITF35" s="233"/>
      <c r="ITG35" s="231"/>
      <c r="ITH35" s="231"/>
      <c r="ITI35" s="229"/>
      <c r="ITJ35" s="230"/>
      <c r="ITK35" s="231"/>
      <c r="ITL35" s="232"/>
      <c r="ITM35" s="233"/>
      <c r="ITN35" s="233"/>
      <c r="ITO35" s="233"/>
      <c r="ITP35" s="233"/>
      <c r="ITQ35" s="233"/>
      <c r="ITR35" s="233"/>
      <c r="ITS35" s="231"/>
      <c r="ITT35" s="231"/>
      <c r="ITU35" s="229"/>
      <c r="ITV35" s="230"/>
      <c r="ITW35" s="231"/>
      <c r="ITX35" s="232"/>
      <c r="ITY35" s="233"/>
      <c r="ITZ35" s="233"/>
      <c r="IUA35" s="233"/>
      <c r="IUB35" s="233"/>
      <c r="IUC35" s="233"/>
      <c r="IUD35" s="233"/>
      <c r="IUE35" s="231"/>
      <c r="IUF35" s="231"/>
      <c r="IUG35" s="229"/>
      <c r="IUH35" s="230"/>
      <c r="IUI35" s="231"/>
      <c r="IUJ35" s="232"/>
      <c r="IUK35" s="233"/>
      <c r="IUL35" s="233"/>
      <c r="IUM35" s="233"/>
      <c r="IUN35" s="233"/>
      <c r="IUO35" s="233"/>
      <c r="IUP35" s="233"/>
      <c r="IUQ35" s="231"/>
      <c r="IUR35" s="231"/>
      <c r="IUS35" s="229"/>
      <c r="IUT35" s="230"/>
      <c r="IUU35" s="231"/>
      <c r="IUV35" s="232"/>
      <c r="IUW35" s="233"/>
      <c r="IUX35" s="233"/>
      <c r="IUY35" s="233"/>
      <c r="IUZ35" s="233"/>
      <c r="IVA35" s="233"/>
      <c r="IVB35" s="233"/>
      <c r="IVC35" s="231"/>
      <c r="IVD35" s="231"/>
      <c r="IVE35" s="229"/>
      <c r="IVF35" s="230"/>
      <c r="IVG35" s="231"/>
      <c r="IVH35" s="232"/>
      <c r="IVI35" s="233"/>
      <c r="IVJ35" s="233"/>
      <c r="IVK35" s="233"/>
      <c r="IVL35" s="233"/>
      <c r="IVM35" s="233"/>
      <c r="IVN35" s="233"/>
      <c r="IVO35" s="231"/>
      <c r="IVP35" s="231"/>
      <c r="IVQ35" s="229"/>
      <c r="IVR35" s="230"/>
      <c r="IVS35" s="231"/>
      <c r="IVT35" s="232"/>
      <c r="IVU35" s="233"/>
      <c r="IVV35" s="233"/>
      <c r="IVW35" s="233"/>
      <c r="IVX35" s="233"/>
      <c r="IVY35" s="233"/>
      <c r="IVZ35" s="233"/>
      <c r="IWA35" s="231"/>
      <c r="IWB35" s="231"/>
      <c r="IWC35" s="229"/>
      <c r="IWD35" s="230"/>
      <c r="IWE35" s="231"/>
      <c r="IWF35" s="232"/>
      <c r="IWG35" s="233"/>
      <c r="IWH35" s="233"/>
      <c r="IWI35" s="233"/>
      <c r="IWJ35" s="233"/>
      <c r="IWK35" s="233"/>
      <c r="IWL35" s="233"/>
      <c r="IWM35" s="231"/>
      <c r="IWN35" s="231"/>
      <c r="IWO35" s="229"/>
      <c r="IWP35" s="230"/>
      <c r="IWQ35" s="231"/>
      <c r="IWR35" s="232"/>
      <c r="IWS35" s="233"/>
      <c r="IWT35" s="233"/>
      <c r="IWU35" s="233"/>
      <c r="IWV35" s="233"/>
      <c r="IWW35" s="233"/>
      <c r="IWX35" s="233"/>
      <c r="IWY35" s="231"/>
      <c r="IWZ35" s="231"/>
      <c r="IXA35" s="229"/>
      <c r="IXB35" s="230"/>
      <c r="IXC35" s="231"/>
      <c r="IXD35" s="232"/>
      <c r="IXE35" s="233"/>
      <c r="IXF35" s="233"/>
      <c r="IXG35" s="233"/>
      <c r="IXH35" s="233"/>
      <c r="IXI35" s="233"/>
      <c r="IXJ35" s="233"/>
      <c r="IXK35" s="231"/>
      <c r="IXL35" s="231"/>
      <c r="IXM35" s="229"/>
      <c r="IXN35" s="230"/>
      <c r="IXO35" s="231"/>
      <c r="IXP35" s="232"/>
      <c r="IXQ35" s="233"/>
      <c r="IXR35" s="233"/>
      <c r="IXS35" s="233"/>
      <c r="IXT35" s="233"/>
      <c r="IXU35" s="233"/>
      <c r="IXV35" s="233"/>
      <c r="IXW35" s="231"/>
      <c r="IXX35" s="231"/>
      <c r="IXY35" s="229"/>
      <c r="IXZ35" s="230"/>
      <c r="IYA35" s="231"/>
      <c r="IYB35" s="232"/>
      <c r="IYC35" s="233"/>
      <c r="IYD35" s="233"/>
      <c r="IYE35" s="233"/>
      <c r="IYF35" s="233"/>
      <c r="IYG35" s="233"/>
      <c r="IYH35" s="233"/>
      <c r="IYI35" s="231"/>
      <c r="IYJ35" s="231"/>
      <c r="IYK35" s="229"/>
      <c r="IYL35" s="230"/>
      <c r="IYM35" s="231"/>
      <c r="IYN35" s="232"/>
      <c r="IYO35" s="233"/>
      <c r="IYP35" s="233"/>
      <c r="IYQ35" s="233"/>
      <c r="IYR35" s="233"/>
      <c r="IYS35" s="233"/>
      <c r="IYT35" s="233"/>
      <c r="IYU35" s="231"/>
      <c r="IYV35" s="231"/>
      <c r="IYW35" s="229"/>
      <c r="IYX35" s="230"/>
      <c r="IYY35" s="231"/>
      <c r="IYZ35" s="232"/>
      <c r="IZA35" s="233"/>
      <c r="IZB35" s="233"/>
      <c r="IZC35" s="233"/>
      <c r="IZD35" s="233"/>
      <c r="IZE35" s="233"/>
      <c r="IZF35" s="233"/>
      <c r="IZG35" s="231"/>
      <c r="IZH35" s="231"/>
      <c r="IZI35" s="229"/>
      <c r="IZJ35" s="230"/>
      <c r="IZK35" s="231"/>
      <c r="IZL35" s="232"/>
      <c r="IZM35" s="233"/>
      <c r="IZN35" s="233"/>
      <c r="IZO35" s="233"/>
      <c r="IZP35" s="233"/>
      <c r="IZQ35" s="233"/>
      <c r="IZR35" s="233"/>
      <c r="IZS35" s="231"/>
      <c r="IZT35" s="231"/>
      <c r="IZU35" s="229"/>
      <c r="IZV35" s="230"/>
      <c r="IZW35" s="231"/>
      <c r="IZX35" s="232"/>
      <c r="IZY35" s="233"/>
      <c r="IZZ35" s="233"/>
      <c r="JAA35" s="233"/>
      <c r="JAB35" s="233"/>
      <c r="JAC35" s="233"/>
      <c r="JAD35" s="233"/>
      <c r="JAE35" s="231"/>
      <c r="JAF35" s="231"/>
      <c r="JAG35" s="229"/>
      <c r="JAH35" s="230"/>
      <c r="JAI35" s="231"/>
      <c r="JAJ35" s="232"/>
      <c r="JAK35" s="233"/>
      <c r="JAL35" s="233"/>
      <c r="JAM35" s="233"/>
      <c r="JAN35" s="233"/>
      <c r="JAO35" s="233"/>
      <c r="JAP35" s="233"/>
      <c r="JAQ35" s="231"/>
      <c r="JAR35" s="231"/>
      <c r="JAS35" s="229"/>
      <c r="JAT35" s="230"/>
      <c r="JAU35" s="231"/>
      <c r="JAV35" s="232"/>
      <c r="JAW35" s="233"/>
      <c r="JAX35" s="233"/>
      <c r="JAY35" s="233"/>
      <c r="JAZ35" s="233"/>
      <c r="JBA35" s="233"/>
      <c r="JBB35" s="233"/>
      <c r="JBC35" s="231"/>
      <c r="JBD35" s="231"/>
      <c r="JBE35" s="229"/>
      <c r="JBF35" s="230"/>
      <c r="JBG35" s="231"/>
      <c r="JBH35" s="232"/>
      <c r="JBI35" s="233"/>
      <c r="JBJ35" s="233"/>
      <c r="JBK35" s="233"/>
      <c r="JBL35" s="233"/>
      <c r="JBM35" s="233"/>
      <c r="JBN35" s="233"/>
      <c r="JBO35" s="231"/>
      <c r="JBP35" s="231"/>
      <c r="JBQ35" s="229"/>
      <c r="JBR35" s="230"/>
      <c r="JBS35" s="231"/>
      <c r="JBT35" s="232"/>
      <c r="JBU35" s="233"/>
      <c r="JBV35" s="233"/>
      <c r="JBW35" s="233"/>
      <c r="JBX35" s="233"/>
      <c r="JBY35" s="233"/>
      <c r="JBZ35" s="233"/>
      <c r="JCA35" s="231"/>
      <c r="JCB35" s="231"/>
      <c r="JCC35" s="229"/>
      <c r="JCD35" s="230"/>
      <c r="JCE35" s="231"/>
      <c r="JCF35" s="232"/>
      <c r="JCG35" s="233"/>
      <c r="JCH35" s="233"/>
      <c r="JCI35" s="233"/>
      <c r="JCJ35" s="233"/>
      <c r="JCK35" s="233"/>
      <c r="JCL35" s="233"/>
      <c r="JCM35" s="231"/>
      <c r="JCN35" s="231"/>
      <c r="JCO35" s="229"/>
      <c r="JCP35" s="230"/>
      <c r="JCQ35" s="231"/>
      <c r="JCR35" s="232"/>
      <c r="JCS35" s="233"/>
      <c r="JCT35" s="233"/>
      <c r="JCU35" s="233"/>
      <c r="JCV35" s="233"/>
      <c r="JCW35" s="233"/>
      <c r="JCX35" s="233"/>
      <c r="JCY35" s="231"/>
      <c r="JCZ35" s="231"/>
      <c r="JDA35" s="229"/>
      <c r="JDB35" s="230"/>
      <c r="JDC35" s="231"/>
      <c r="JDD35" s="232"/>
      <c r="JDE35" s="233"/>
      <c r="JDF35" s="233"/>
      <c r="JDG35" s="233"/>
      <c r="JDH35" s="233"/>
      <c r="JDI35" s="233"/>
      <c r="JDJ35" s="233"/>
      <c r="JDK35" s="231"/>
      <c r="JDL35" s="231"/>
      <c r="JDM35" s="229"/>
      <c r="JDN35" s="230"/>
      <c r="JDO35" s="231"/>
      <c r="JDP35" s="232"/>
      <c r="JDQ35" s="233"/>
      <c r="JDR35" s="233"/>
      <c r="JDS35" s="233"/>
      <c r="JDT35" s="233"/>
      <c r="JDU35" s="233"/>
      <c r="JDV35" s="233"/>
      <c r="JDW35" s="231"/>
      <c r="JDX35" s="231"/>
      <c r="JDY35" s="229"/>
      <c r="JDZ35" s="230"/>
      <c r="JEA35" s="231"/>
      <c r="JEB35" s="232"/>
      <c r="JEC35" s="233"/>
      <c r="JED35" s="233"/>
      <c r="JEE35" s="233"/>
      <c r="JEF35" s="233"/>
      <c r="JEG35" s="233"/>
      <c r="JEH35" s="233"/>
      <c r="JEI35" s="231"/>
      <c r="JEJ35" s="231"/>
      <c r="JEK35" s="229"/>
      <c r="JEL35" s="230"/>
      <c r="JEM35" s="231"/>
      <c r="JEN35" s="232"/>
      <c r="JEO35" s="233"/>
      <c r="JEP35" s="233"/>
      <c r="JEQ35" s="233"/>
      <c r="JER35" s="233"/>
      <c r="JES35" s="233"/>
      <c r="JET35" s="233"/>
      <c r="JEU35" s="231"/>
      <c r="JEV35" s="231"/>
      <c r="JEW35" s="229"/>
      <c r="JEX35" s="230"/>
      <c r="JEY35" s="231"/>
      <c r="JEZ35" s="232"/>
      <c r="JFA35" s="233"/>
      <c r="JFB35" s="233"/>
      <c r="JFC35" s="233"/>
      <c r="JFD35" s="233"/>
      <c r="JFE35" s="233"/>
      <c r="JFF35" s="233"/>
      <c r="JFG35" s="231"/>
      <c r="JFH35" s="231"/>
      <c r="JFI35" s="229"/>
      <c r="JFJ35" s="230"/>
      <c r="JFK35" s="231"/>
      <c r="JFL35" s="232"/>
      <c r="JFM35" s="233"/>
      <c r="JFN35" s="233"/>
      <c r="JFO35" s="233"/>
      <c r="JFP35" s="233"/>
      <c r="JFQ35" s="233"/>
      <c r="JFR35" s="233"/>
      <c r="JFS35" s="231"/>
      <c r="JFT35" s="231"/>
      <c r="JFU35" s="229"/>
      <c r="JFV35" s="230"/>
      <c r="JFW35" s="231"/>
      <c r="JFX35" s="232"/>
      <c r="JFY35" s="233"/>
      <c r="JFZ35" s="233"/>
      <c r="JGA35" s="233"/>
      <c r="JGB35" s="233"/>
      <c r="JGC35" s="233"/>
      <c r="JGD35" s="233"/>
      <c r="JGE35" s="231"/>
      <c r="JGF35" s="231"/>
      <c r="JGG35" s="229"/>
      <c r="JGH35" s="230"/>
      <c r="JGI35" s="231"/>
      <c r="JGJ35" s="232"/>
      <c r="JGK35" s="233"/>
      <c r="JGL35" s="233"/>
      <c r="JGM35" s="233"/>
      <c r="JGN35" s="233"/>
      <c r="JGO35" s="233"/>
      <c r="JGP35" s="233"/>
      <c r="JGQ35" s="231"/>
      <c r="JGR35" s="231"/>
      <c r="JGS35" s="229"/>
      <c r="JGT35" s="230"/>
      <c r="JGU35" s="231"/>
      <c r="JGV35" s="232"/>
      <c r="JGW35" s="233"/>
      <c r="JGX35" s="233"/>
      <c r="JGY35" s="233"/>
      <c r="JGZ35" s="233"/>
      <c r="JHA35" s="233"/>
      <c r="JHB35" s="233"/>
      <c r="JHC35" s="231"/>
      <c r="JHD35" s="231"/>
      <c r="JHE35" s="229"/>
      <c r="JHF35" s="230"/>
      <c r="JHG35" s="231"/>
      <c r="JHH35" s="232"/>
      <c r="JHI35" s="233"/>
      <c r="JHJ35" s="233"/>
      <c r="JHK35" s="233"/>
      <c r="JHL35" s="233"/>
      <c r="JHM35" s="233"/>
      <c r="JHN35" s="233"/>
      <c r="JHO35" s="231"/>
      <c r="JHP35" s="231"/>
      <c r="JHQ35" s="229"/>
      <c r="JHR35" s="230"/>
      <c r="JHS35" s="231"/>
      <c r="JHT35" s="232"/>
      <c r="JHU35" s="233"/>
      <c r="JHV35" s="233"/>
      <c r="JHW35" s="233"/>
      <c r="JHX35" s="233"/>
      <c r="JHY35" s="233"/>
      <c r="JHZ35" s="233"/>
      <c r="JIA35" s="231"/>
      <c r="JIB35" s="231"/>
      <c r="JIC35" s="229"/>
      <c r="JID35" s="230"/>
      <c r="JIE35" s="231"/>
      <c r="JIF35" s="232"/>
      <c r="JIG35" s="233"/>
      <c r="JIH35" s="233"/>
      <c r="JII35" s="233"/>
      <c r="JIJ35" s="233"/>
      <c r="JIK35" s="233"/>
      <c r="JIL35" s="233"/>
      <c r="JIM35" s="231"/>
      <c r="JIN35" s="231"/>
      <c r="JIO35" s="229"/>
      <c r="JIP35" s="230"/>
      <c r="JIQ35" s="231"/>
      <c r="JIR35" s="232"/>
      <c r="JIS35" s="233"/>
      <c r="JIT35" s="233"/>
      <c r="JIU35" s="233"/>
      <c r="JIV35" s="233"/>
      <c r="JIW35" s="233"/>
      <c r="JIX35" s="233"/>
      <c r="JIY35" s="231"/>
      <c r="JIZ35" s="231"/>
      <c r="JJA35" s="229"/>
      <c r="JJB35" s="230"/>
      <c r="JJC35" s="231"/>
      <c r="JJD35" s="232"/>
      <c r="JJE35" s="233"/>
      <c r="JJF35" s="233"/>
      <c r="JJG35" s="233"/>
      <c r="JJH35" s="233"/>
      <c r="JJI35" s="233"/>
      <c r="JJJ35" s="233"/>
      <c r="JJK35" s="231"/>
      <c r="JJL35" s="231"/>
      <c r="JJM35" s="229"/>
      <c r="JJN35" s="230"/>
      <c r="JJO35" s="231"/>
      <c r="JJP35" s="232"/>
      <c r="JJQ35" s="233"/>
      <c r="JJR35" s="233"/>
      <c r="JJS35" s="233"/>
      <c r="JJT35" s="233"/>
      <c r="JJU35" s="233"/>
      <c r="JJV35" s="233"/>
      <c r="JJW35" s="231"/>
      <c r="JJX35" s="231"/>
      <c r="JJY35" s="229"/>
      <c r="JJZ35" s="230"/>
      <c r="JKA35" s="231"/>
      <c r="JKB35" s="232"/>
      <c r="JKC35" s="233"/>
      <c r="JKD35" s="233"/>
      <c r="JKE35" s="233"/>
      <c r="JKF35" s="233"/>
      <c r="JKG35" s="233"/>
      <c r="JKH35" s="233"/>
      <c r="JKI35" s="231"/>
      <c r="JKJ35" s="231"/>
      <c r="JKK35" s="229"/>
      <c r="JKL35" s="230"/>
      <c r="JKM35" s="231"/>
      <c r="JKN35" s="232"/>
      <c r="JKO35" s="233"/>
      <c r="JKP35" s="233"/>
      <c r="JKQ35" s="233"/>
      <c r="JKR35" s="233"/>
      <c r="JKS35" s="233"/>
      <c r="JKT35" s="233"/>
      <c r="JKU35" s="231"/>
      <c r="JKV35" s="231"/>
      <c r="JKW35" s="229"/>
      <c r="JKX35" s="230"/>
      <c r="JKY35" s="231"/>
      <c r="JKZ35" s="232"/>
      <c r="JLA35" s="233"/>
      <c r="JLB35" s="233"/>
      <c r="JLC35" s="233"/>
      <c r="JLD35" s="233"/>
      <c r="JLE35" s="233"/>
      <c r="JLF35" s="233"/>
      <c r="JLG35" s="231"/>
      <c r="JLH35" s="231"/>
      <c r="JLI35" s="229"/>
      <c r="JLJ35" s="230"/>
      <c r="JLK35" s="231"/>
      <c r="JLL35" s="232"/>
      <c r="JLM35" s="233"/>
      <c r="JLN35" s="233"/>
      <c r="JLO35" s="233"/>
      <c r="JLP35" s="233"/>
      <c r="JLQ35" s="233"/>
      <c r="JLR35" s="233"/>
      <c r="JLS35" s="231"/>
      <c r="JLT35" s="231"/>
      <c r="JLU35" s="229"/>
      <c r="JLV35" s="230"/>
      <c r="JLW35" s="231"/>
      <c r="JLX35" s="232"/>
      <c r="JLY35" s="233"/>
      <c r="JLZ35" s="233"/>
      <c r="JMA35" s="233"/>
      <c r="JMB35" s="233"/>
      <c r="JMC35" s="233"/>
      <c r="JMD35" s="233"/>
      <c r="JME35" s="231"/>
      <c r="JMF35" s="231"/>
      <c r="JMG35" s="229"/>
      <c r="JMH35" s="230"/>
      <c r="JMI35" s="231"/>
      <c r="JMJ35" s="232"/>
      <c r="JMK35" s="233"/>
      <c r="JML35" s="233"/>
      <c r="JMM35" s="233"/>
      <c r="JMN35" s="233"/>
      <c r="JMO35" s="233"/>
      <c r="JMP35" s="233"/>
      <c r="JMQ35" s="231"/>
      <c r="JMR35" s="231"/>
      <c r="JMS35" s="229"/>
      <c r="JMT35" s="230"/>
      <c r="JMU35" s="231"/>
      <c r="JMV35" s="232"/>
      <c r="JMW35" s="233"/>
      <c r="JMX35" s="233"/>
      <c r="JMY35" s="233"/>
      <c r="JMZ35" s="233"/>
      <c r="JNA35" s="233"/>
      <c r="JNB35" s="233"/>
      <c r="JNC35" s="231"/>
      <c r="JND35" s="231"/>
      <c r="JNE35" s="229"/>
      <c r="JNF35" s="230"/>
      <c r="JNG35" s="231"/>
      <c r="JNH35" s="232"/>
      <c r="JNI35" s="233"/>
      <c r="JNJ35" s="233"/>
      <c r="JNK35" s="233"/>
      <c r="JNL35" s="233"/>
      <c r="JNM35" s="233"/>
      <c r="JNN35" s="233"/>
      <c r="JNO35" s="231"/>
      <c r="JNP35" s="231"/>
      <c r="JNQ35" s="229"/>
      <c r="JNR35" s="230"/>
      <c r="JNS35" s="231"/>
      <c r="JNT35" s="232"/>
      <c r="JNU35" s="233"/>
      <c r="JNV35" s="233"/>
      <c r="JNW35" s="233"/>
      <c r="JNX35" s="233"/>
      <c r="JNY35" s="233"/>
      <c r="JNZ35" s="233"/>
      <c r="JOA35" s="231"/>
      <c r="JOB35" s="231"/>
      <c r="JOC35" s="229"/>
      <c r="JOD35" s="230"/>
      <c r="JOE35" s="231"/>
      <c r="JOF35" s="232"/>
      <c r="JOG35" s="233"/>
      <c r="JOH35" s="233"/>
      <c r="JOI35" s="233"/>
      <c r="JOJ35" s="233"/>
      <c r="JOK35" s="233"/>
      <c r="JOL35" s="233"/>
      <c r="JOM35" s="231"/>
      <c r="JON35" s="231"/>
      <c r="JOO35" s="229"/>
      <c r="JOP35" s="230"/>
      <c r="JOQ35" s="231"/>
      <c r="JOR35" s="232"/>
      <c r="JOS35" s="233"/>
      <c r="JOT35" s="233"/>
      <c r="JOU35" s="233"/>
      <c r="JOV35" s="233"/>
      <c r="JOW35" s="233"/>
      <c r="JOX35" s="233"/>
      <c r="JOY35" s="231"/>
      <c r="JOZ35" s="231"/>
      <c r="JPA35" s="229"/>
      <c r="JPB35" s="230"/>
      <c r="JPC35" s="231"/>
      <c r="JPD35" s="232"/>
      <c r="JPE35" s="233"/>
      <c r="JPF35" s="233"/>
      <c r="JPG35" s="233"/>
      <c r="JPH35" s="233"/>
      <c r="JPI35" s="233"/>
      <c r="JPJ35" s="233"/>
      <c r="JPK35" s="231"/>
      <c r="JPL35" s="231"/>
      <c r="JPM35" s="229"/>
      <c r="JPN35" s="230"/>
      <c r="JPO35" s="231"/>
      <c r="JPP35" s="232"/>
      <c r="JPQ35" s="233"/>
      <c r="JPR35" s="233"/>
      <c r="JPS35" s="233"/>
      <c r="JPT35" s="233"/>
      <c r="JPU35" s="233"/>
      <c r="JPV35" s="233"/>
      <c r="JPW35" s="231"/>
      <c r="JPX35" s="231"/>
      <c r="JPY35" s="229"/>
      <c r="JPZ35" s="230"/>
      <c r="JQA35" s="231"/>
      <c r="JQB35" s="232"/>
      <c r="JQC35" s="233"/>
      <c r="JQD35" s="233"/>
      <c r="JQE35" s="233"/>
      <c r="JQF35" s="233"/>
      <c r="JQG35" s="233"/>
      <c r="JQH35" s="233"/>
      <c r="JQI35" s="231"/>
      <c r="JQJ35" s="231"/>
      <c r="JQK35" s="229"/>
      <c r="JQL35" s="230"/>
      <c r="JQM35" s="231"/>
      <c r="JQN35" s="232"/>
      <c r="JQO35" s="233"/>
      <c r="JQP35" s="233"/>
      <c r="JQQ35" s="233"/>
      <c r="JQR35" s="233"/>
      <c r="JQS35" s="233"/>
      <c r="JQT35" s="233"/>
      <c r="JQU35" s="231"/>
      <c r="JQV35" s="231"/>
      <c r="JQW35" s="229"/>
      <c r="JQX35" s="230"/>
      <c r="JQY35" s="231"/>
      <c r="JQZ35" s="232"/>
      <c r="JRA35" s="233"/>
      <c r="JRB35" s="233"/>
      <c r="JRC35" s="233"/>
      <c r="JRD35" s="233"/>
      <c r="JRE35" s="233"/>
      <c r="JRF35" s="233"/>
      <c r="JRG35" s="231"/>
      <c r="JRH35" s="231"/>
      <c r="JRI35" s="229"/>
      <c r="JRJ35" s="230"/>
      <c r="JRK35" s="231"/>
      <c r="JRL35" s="232"/>
      <c r="JRM35" s="233"/>
      <c r="JRN35" s="233"/>
      <c r="JRO35" s="233"/>
      <c r="JRP35" s="233"/>
      <c r="JRQ35" s="233"/>
      <c r="JRR35" s="233"/>
      <c r="JRS35" s="231"/>
      <c r="JRT35" s="231"/>
      <c r="JRU35" s="229"/>
      <c r="JRV35" s="230"/>
      <c r="JRW35" s="231"/>
      <c r="JRX35" s="232"/>
      <c r="JRY35" s="233"/>
      <c r="JRZ35" s="233"/>
      <c r="JSA35" s="233"/>
      <c r="JSB35" s="233"/>
      <c r="JSC35" s="233"/>
      <c r="JSD35" s="233"/>
      <c r="JSE35" s="231"/>
      <c r="JSF35" s="231"/>
      <c r="JSG35" s="229"/>
      <c r="JSH35" s="230"/>
      <c r="JSI35" s="231"/>
      <c r="JSJ35" s="232"/>
      <c r="JSK35" s="233"/>
      <c r="JSL35" s="233"/>
      <c r="JSM35" s="233"/>
      <c r="JSN35" s="233"/>
      <c r="JSO35" s="233"/>
      <c r="JSP35" s="233"/>
      <c r="JSQ35" s="231"/>
      <c r="JSR35" s="231"/>
      <c r="JSS35" s="229"/>
      <c r="JST35" s="230"/>
      <c r="JSU35" s="231"/>
      <c r="JSV35" s="232"/>
      <c r="JSW35" s="233"/>
      <c r="JSX35" s="233"/>
      <c r="JSY35" s="233"/>
      <c r="JSZ35" s="233"/>
      <c r="JTA35" s="233"/>
      <c r="JTB35" s="233"/>
      <c r="JTC35" s="231"/>
      <c r="JTD35" s="231"/>
      <c r="JTE35" s="229"/>
      <c r="JTF35" s="230"/>
      <c r="JTG35" s="231"/>
      <c r="JTH35" s="232"/>
      <c r="JTI35" s="233"/>
      <c r="JTJ35" s="233"/>
      <c r="JTK35" s="233"/>
      <c r="JTL35" s="233"/>
      <c r="JTM35" s="233"/>
      <c r="JTN35" s="233"/>
      <c r="JTO35" s="231"/>
      <c r="JTP35" s="231"/>
      <c r="JTQ35" s="229"/>
      <c r="JTR35" s="230"/>
      <c r="JTS35" s="231"/>
      <c r="JTT35" s="232"/>
      <c r="JTU35" s="233"/>
      <c r="JTV35" s="233"/>
      <c r="JTW35" s="233"/>
      <c r="JTX35" s="233"/>
      <c r="JTY35" s="233"/>
      <c r="JTZ35" s="233"/>
      <c r="JUA35" s="231"/>
      <c r="JUB35" s="231"/>
      <c r="JUC35" s="229"/>
      <c r="JUD35" s="230"/>
      <c r="JUE35" s="231"/>
      <c r="JUF35" s="232"/>
      <c r="JUG35" s="233"/>
      <c r="JUH35" s="233"/>
      <c r="JUI35" s="233"/>
      <c r="JUJ35" s="233"/>
      <c r="JUK35" s="233"/>
      <c r="JUL35" s="233"/>
      <c r="JUM35" s="231"/>
      <c r="JUN35" s="231"/>
      <c r="JUO35" s="229"/>
      <c r="JUP35" s="230"/>
      <c r="JUQ35" s="231"/>
      <c r="JUR35" s="232"/>
      <c r="JUS35" s="233"/>
      <c r="JUT35" s="233"/>
      <c r="JUU35" s="233"/>
      <c r="JUV35" s="233"/>
      <c r="JUW35" s="233"/>
      <c r="JUX35" s="233"/>
      <c r="JUY35" s="231"/>
      <c r="JUZ35" s="231"/>
      <c r="JVA35" s="229"/>
      <c r="JVB35" s="230"/>
      <c r="JVC35" s="231"/>
      <c r="JVD35" s="232"/>
      <c r="JVE35" s="233"/>
      <c r="JVF35" s="233"/>
      <c r="JVG35" s="233"/>
      <c r="JVH35" s="233"/>
      <c r="JVI35" s="233"/>
      <c r="JVJ35" s="233"/>
      <c r="JVK35" s="231"/>
      <c r="JVL35" s="231"/>
      <c r="JVM35" s="229"/>
      <c r="JVN35" s="230"/>
      <c r="JVO35" s="231"/>
      <c r="JVP35" s="232"/>
      <c r="JVQ35" s="233"/>
      <c r="JVR35" s="233"/>
      <c r="JVS35" s="233"/>
      <c r="JVT35" s="233"/>
      <c r="JVU35" s="233"/>
      <c r="JVV35" s="233"/>
      <c r="JVW35" s="231"/>
      <c r="JVX35" s="231"/>
      <c r="JVY35" s="229"/>
      <c r="JVZ35" s="230"/>
      <c r="JWA35" s="231"/>
      <c r="JWB35" s="232"/>
      <c r="JWC35" s="233"/>
      <c r="JWD35" s="233"/>
      <c r="JWE35" s="233"/>
      <c r="JWF35" s="233"/>
      <c r="JWG35" s="233"/>
      <c r="JWH35" s="233"/>
      <c r="JWI35" s="231"/>
      <c r="JWJ35" s="231"/>
      <c r="JWK35" s="229"/>
      <c r="JWL35" s="230"/>
      <c r="JWM35" s="231"/>
      <c r="JWN35" s="232"/>
      <c r="JWO35" s="233"/>
      <c r="JWP35" s="233"/>
      <c r="JWQ35" s="233"/>
      <c r="JWR35" s="233"/>
      <c r="JWS35" s="233"/>
      <c r="JWT35" s="233"/>
      <c r="JWU35" s="231"/>
      <c r="JWV35" s="231"/>
      <c r="JWW35" s="229"/>
      <c r="JWX35" s="230"/>
      <c r="JWY35" s="231"/>
      <c r="JWZ35" s="232"/>
      <c r="JXA35" s="233"/>
      <c r="JXB35" s="233"/>
      <c r="JXC35" s="233"/>
      <c r="JXD35" s="233"/>
      <c r="JXE35" s="233"/>
      <c r="JXF35" s="233"/>
      <c r="JXG35" s="231"/>
      <c r="JXH35" s="231"/>
      <c r="JXI35" s="229"/>
      <c r="JXJ35" s="230"/>
      <c r="JXK35" s="231"/>
      <c r="JXL35" s="232"/>
      <c r="JXM35" s="233"/>
      <c r="JXN35" s="233"/>
      <c r="JXO35" s="233"/>
      <c r="JXP35" s="233"/>
      <c r="JXQ35" s="233"/>
      <c r="JXR35" s="233"/>
      <c r="JXS35" s="231"/>
      <c r="JXT35" s="231"/>
      <c r="JXU35" s="229"/>
      <c r="JXV35" s="230"/>
      <c r="JXW35" s="231"/>
      <c r="JXX35" s="232"/>
      <c r="JXY35" s="233"/>
      <c r="JXZ35" s="233"/>
      <c r="JYA35" s="233"/>
      <c r="JYB35" s="233"/>
      <c r="JYC35" s="233"/>
      <c r="JYD35" s="233"/>
      <c r="JYE35" s="231"/>
      <c r="JYF35" s="231"/>
      <c r="JYG35" s="229"/>
      <c r="JYH35" s="230"/>
      <c r="JYI35" s="231"/>
      <c r="JYJ35" s="232"/>
      <c r="JYK35" s="233"/>
      <c r="JYL35" s="233"/>
      <c r="JYM35" s="233"/>
      <c r="JYN35" s="233"/>
      <c r="JYO35" s="233"/>
      <c r="JYP35" s="233"/>
      <c r="JYQ35" s="231"/>
      <c r="JYR35" s="231"/>
      <c r="JYS35" s="229"/>
      <c r="JYT35" s="230"/>
      <c r="JYU35" s="231"/>
      <c r="JYV35" s="232"/>
      <c r="JYW35" s="233"/>
      <c r="JYX35" s="233"/>
      <c r="JYY35" s="233"/>
      <c r="JYZ35" s="233"/>
      <c r="JZA35" s="233"/>
      <c r="JZB35" s="233"/>
      <c r="JZC35" s="231"/>
      <c r="JZD35" s="231"/>
      <c r="JZE35" s="229"/>
      <c r="JZF35" s="230"/>
      <c r="JZG35" s="231"/>
      <c r="JZH35" s="232"/>
      <c r="JZI35" s="233"/>
      <c r="JZJ35" s="233"/>
      <c r="JZK35" s="233"/>
      <c r="JZL35" s="233"/>
      <c r="JZM35" s="233"/>
      <c r="JZN35" s="233"/>
      <c r="JZO35" s="231"/>
      <c r="JZP35" s="231"/>
      <c r="JZQ35" s="229"/>
      <c r="JZR35" s="230"/>
      <c r="JZS35" s="231"/>
      <c r="JZT35" s="232"/>
      <c r="JZU35" s="233"/>
      <c r="JZV35" s="233"/>
      <c r="JZW35" s="233"/>
      <c r="JZX35" s="233"/>
      <c r="JZY35" s="233"/>
      <c r="JZZ35" s="233"/>
      <c r="KAA35" s="231"/>
      <c r="KAB35" s="231"/>
      <c r="KAC35" s="229"/>
      <c r="KAD35" s="230"/>
      <c r="KAE35" s="231"/>
      <c r="KAF35" s="232"/>
      <c r="KAG35" s="233"/>
      <c r="KAH35" s="233"/>
      <c r="KAI35" s="233"/>
      <c r="KAJ35" s="233"/>
      <c r="KAK35" s="233"/>
      <c r="KAL35" s="233"/>
      <c r="KAM35" s="231"/>
      <c r="KAN35" s="231"/>
      <c r="KAO35" s="229"/>
      <c r="KAP35" s="230"/>
      <c r="KAQ35" s="231"/>
      <c r="KAR35" s="232"/>
      <c r="KAS35" s="233"/>
      <c r="KAT35" s="233"/>
      <c r="KAU35" s="233"/>
      <c r="KAV35" s="233"/>
      <c r="KAW35" s="233"/>
      <c r="KAX35" s="233"/>
      <c r="KAY35" s="231"/>
      <c r="KAZ35" s="231"/>
      <c r="KBA35" s="229"/>
      <c r="KBB35" s="230"/>
      <c r="KBC35" s="231"/>
      <c r="KBD35" s="232"/>
      <c r="KBE35" s="233"/>
      <c r="KBF35" s="233"/>
      <c r="KBG35" s="233"/>
      <c r="KBH35" s="233"/>
      <c r="KBI35" s="233"/>
      <c r="KBJ35" s="233"/>
      <c r="KBK35" s="231"/>
      <c r="KBL35" s="231"/>
      <c r="KBM35" s="229"/>
      <c r="KBN35" s="230"/>
      <c r="KBO35" s="231"/>
      <c r="KBP35" s="232"/>
      <c r="KBQ35" s="233"/>
      <c r="KBR35" s="233"/>
      <c r="KBS35" s="233"/>
      <c r="KBT35" s="233"/>
      <c r="KBU35" s="233"/>
      <c r="KBV35" s="233"/>
      <c r="KBW35" s="231"/>
      <c r="KBX35" s="231"/>
      <c r="KBY35" s="229"/>
      <c r="KBZ35" s="230"/>
      <c r="KCA35" s="231"/>
      <c r="KCB35" s="232"/>
      <c r="KCC35" s="233"/>
      <c r="KCD35" s="233"/>
      <c r="KCE35" s="233"/>
      <c r="KCF35" s="233"/>
      <c r="KCG35" s="233"/>
      <c r="KCH35" s="233"/>
      <c r="KCI35" s="231"/>
      <c r="KCJ35" s="231"/>
      <c r="KCK35" s="229"/>
      <c r="KCL35" s="230"/>
      <c r="KCM35" s="231"/>
      <c r="KCN35" s="232"/>
      <c r="KCO35" s="233"/>
      <c r="KCP35" s="233"/>
      <c r="KCQ35" s="233"/>
      <c r="KCR35" s="233"/>
      <c r="KCS35" s="233"/>
      <c r="KCT35" s="233"/>
      <c r="KCU35" s="231"/>
      <c r="KCV35" s="231"/>
      <c r="KCW35" s="229"/>
      <c r="KCX35" s="230"/>
      <c r="KCY35" s="231"/>
      <c r="KCZ35" s="232"/>
      <c r="KDA35" s="233"/>
      <c r="KDB35" s="233"/>
      <c r="KDC35" s="233"/>
      <c r="KDD35" s="233"/>
      <c r="KDE35" s="233"/>
      <c r="KDF35" s="233"/>
      <c r="KDG35" s="231"/>
      <c r="KDH35" s="231"/>
      <c r="KDI35" s="229"/>
      <c r="KDJ35" s="230"/>
      <c r="KDK35" s="231"/>
      <c r="KDL35" s="232"/>
      <c r="KDM35" s="233"/>
      <c r="KDN35" s="233"/>
      <c r="KDO35" s="233"/>
      <c r="KDP35" s="233"/>
      <c r="KDQ35" s="233"/>
      <c r="KDR35" s="233"/>
      <c r="KDS35" s="231"/>
      <c r="KDT35" s="231"/>
      <c r="KDU35" s="229"/>
      <c r="KDV35" s="230"/>
      <c r="KDW35" s="231"/>
      <c r="KDX35" s="232"/>
      <c r="KDY35" s="233"/>
      <c r="KDZ35" s="233"/>
      <c r="KEA35" s="233"/>
      <c r="KEB35" s="233"/>
      <c r="KEC35" s="233"/>
      <c r="KED35" s="233"/>
      <c r="KEE35" s="231"/>
      <c r="KEF35" s="231"/>
      <c r="KEG35" s="229"/>
      <c r="KEH35" s="230"/>
      <c r="KEI35" s="231"/>
      <c r="KEJ35" s="232"/>
      <c r="KEK35" s="233"/>
      <c r="KEL35" s="233"/>
      <c r="KEM35" s="233"/>
      <c r="KEN35" s="233"/>
      <c r="KEO35" s="233"/>
      <c r="KEP35" s="233"/>
      <c r="KEQ35" s="231"/>
      <c r="KER35" s="231"/>
      <c r="KES35" s="229"/>
      <c r="KET35" s="230"/>
      <c r="KEU35" s="231"/>
      <c r="KEV35" s="232"/>
      <c r="KEW35" s="233"/>
      <c r="KEX35" s="233"/>
      <c r="KEY35" s="233"/>
      <c r="KEZ35" s="233"/>
      <c r="KFA35" s="233"/>
      <c r="KFB35" s="233"/>
      <c r="KFC35" s="231"/>
      <c r="KFD35" s="231"/>
      <c r="KFE35" s="229"/>
      <c r="KFF35" s="230"/>
      <c r="KFG35" s="231"/>
      <c r="KFH35" s="232"/>
      <c r="KFI35" s="233"/>
      <c r="KFJ35" s="233"/>
      <c r="KFK35" s="233"/>
      <c r="KFL35" s="233"/>
      <c r="KFM35" s="233"/>
      <c r="KFN35" s="233"/>
      <c r="KFO35" s="231"/>
      <c r="KFP35" s="231"/>
      <c r="KFQ35" s="229"/>
      <c r="KFR35" s="230"/>
      <c r="KFS35" s="231"/>
      <c r="KFT35" s="232"/>
      <c r="KFU35" s="233"/>
      <c r="KFV35" s="233"/>
      <c r="KFW35" s="233"/>
      <c r="KFX35" s="233"/>
      <c r="KFY35" s="233"/>
      <c r="KFZ35" s="233"/>
      <c r="KGA35" s="231"/>
      <c r="KGB35" s="231"/>
      <c r="KGC35" s="229"/>
      <c r="KGD35" s="230"/>
      <c r="KGE35" s="231"/>
      <c r="KGF35" s="232"/>
      <c r="KGG35" s="233"/>
      <c r="KGH35" s="233"/>
      <c r="KGI35" s="233"/>
      <c r="KGJ35" s="233"/>
      <c r="KGK35" s="233"/>
      <c r="KGL35" s="233"/>
      <c r="KGM35" s="231"/>
      <c r="KGN35" s="231"/>
      <c r="KGO35" s="229"/>
      <c r="KGP35" s="230"/>
      <c r="KGQ35" s="231"/>
      <c r="KGR35" s="232"/>
      <c r="KGS35" s="233"/>
      <c r="KGT35" s="233"/>
      <c r="KGU35" s="233"/>
      <c r="KGV35" s="233"/>
      <c r="KGW35" s="233"/>
      <c r="KGX35" s="233"/>
      <c r="KGY35" s="231"/>
      <c r="KGZ35" s="231"/>
      <c r="KHA35" s="229"/>
      <c r="KHB35" s="230"/>
      <c r="KHC35" s="231"/>
      <c r="KHD35" s="232"/>
      <c r="KHE35" s="233"/>
      <c r="KHF35" s="233"/>
      <c r="KHG35" s="233"/>
      <c r="KHH35" s="233"/>
      <c r="KHI35" s="233"/>
      <c r="KHJ35" s="233"/>
      <c r="KHK35" s="231"/>
      <c r="KHL35" s="231"/>
      <c r="KHM35" s="229"/>
      <c r="KHN35" s="230"/>
      <c r="KHO35" s="231"/>
      <c r="KHP35" s="232"/>
      <c r="KHQ35" s="233"/>
      <c r="KHR35" s="233"/>
      <c r="KHS35" s="233"/>
      <c r="KHT35" s="233"/>
      <c r="KHU35" s="233"/>
      <c r="KHV35" s="233"/>
      <c r="KHW35" s="231"/>
      <c r="KHX35" s="231"/>
      <c r="KHY35" s="229"/>
      <c r="KHZ35" s="230"/>
      <c r="KIA35" s="231"/>
      <c r="KIB35" s="232"/>
      <c r="KIC35" s="233"/>
      <c r="KID35" s="233"/>
      <c r="KIE35" s="233"/>
      <c r="KIF35" s="233"/>
      <c r="KIG35" s="233"/>
      <c r="KIH35" s="233"/>
      <c r="KII35" s="231"/>
      <c r="KIJ35" s="231"/>
      <c r="KIK35" s="229"/>
      <c r="KIL35" s="230"/>
      <c r="KIM35" s="231"/>
      <c r="KIN35" s="232"/>
      <c r="KIO35" s="233"/>
      <c r="KIP35" s="233"/>
      <c r="KIQ35" s="233"/>
      <c r="KIR35" s="233"/>
      <c r="KIS35" s="233"/>
      <c r="KIT35" s="233"/>
      <c r="KIU35" s="231"/>
      <c r="KIV35" s="231"/>
      <c r="KIW35" s="229"/>
      <c r="KIX35" s="230"/>
      <c r="KIY35" s="231"/>
      <c r="KIZ35" s="232"/>
      <c r="KJA35" s="233"/>
      <c r="KJB35" s="233"/>
      <c r="KJC35" s="233"/>
      <c r="KJD35" s="233"/>
      <c r="KJE35" s="233"/>
      <c r="KJF35" s="233"/>
      <c r="KJG35" s="231"/>
      <c r="KJH35" s="231"/>
      <c r="KJI35" s="229"/>
      <c r="KJJ35" s="230"/>
      <c r="KJK35" s="231"/>
      <c r="KJL35" s="232"/>
      <c r="KJM35" s="233"/>
      <c r="KJN35" s="233"/>
      <c r="KJO35" s="233"/>
      <c r="KJP35" s="233"/>
      <c r="KJQ35" s="233"/>
      <c r="KJR35" s="233"/>
      <c r="KJS35" s="231"/>
      <c r="KJT35" s="231"/>
      <c r="KJU35" s="229"/>
      <c r="KJV35" s="230"/>
      <c r="KJW35" s="231"/>
      <c r="KJX35" s="232"/>
      <c r="KJY35" s="233"/>
      <c r="KJZ35" s="233"/>
      <c r="KKA35" s="233"/>
      <c r="KKB35" s="233"/>
      <c r="KKC35" s="233"/>
      <c r="KKD35" s="233"/>
      <c r="KKE35" s="231"/>
      <c r="KKF35" s="231"/>
      <c r="KKG35" s="229"/>
      <c r="KKH35" s="230"/>
      <c r="KKI35" s="231"/>
      <c r="KKJ35" s="232"/>
      <c r="KKK35" s="233"/>
      <c r="KKL35" s="233"/>
      <c r="KKM35" s="233"/>
      <c r="KKN35" s="233"/>
      <c r="KKO35" s="233"/>
      <c r="KKP35" s="233"/>
      <c r="KKQ35" s="231"/>
      <c r="KKR35" s="231"/>
      <c r="KKS35" s="229"/>
      <c r="KKT35" s="230"/>
      <c r="KKU35" s="231"/>
      <c r="KKV35" s="232"/>
      <c r="KKW35" s="233"/>
      <c r="KKX35" s="233"/>
      <c r="KKY35" s="233"/>
      <c r="KKZ35" s="233"/>
      <c r="KLA35" s="233"/>
      <c r="KLB35" s="233"/>
      <c r="KLC35" s="231"/>
      <c r="KLD35" s="231"/>
      <c r="KLE35" s="229"/>
      <c r="KLF35" s="230"/>
      <c r="KLG35" s="231"/>
      <c r="KLH35" s="232"/>
      <c r="KLI35" s="233"/>
      <c r="KLJ35" s="233"/>
      <c r="KLK35" s="233"/>
      <c r="KLL35" s="233"/>
      <c r="KLM35" s="233"/>
      <c r="KLN35" s="233"/>
      <c r="KLO35" s="231"/>
      <c r="KLP35" s="231"/>
      <c r="KLQ35" s="229"/>
      <c r="KLR35" s="230"/>
      <c r="KLS35" s="231"/>
      <c r="KLT35" s="232"/>
      <c r="KLU35" s="233"/>
      <c r="KLV35" s="233"/>
      <c r="KLW35" s="233"/>
      <c r="KLX35" s="233"/>
      <c r="KLY35" s="233"/>
      <c r="KLZ35" s="233"/>
      <c r="KMA35" s="231"/>
      <c r="KMB35" s="231"/>
      <c r="KMC35" s="229"/>
      <c r="KMD35" s="230"/>
      <c r="KME35" s="231"/>
      <c r="KMF35" s="232"/>
      <c r="KMG35" s="233"/>
      <c r="KMH35" s="233"/>
      <c r="KMI35" s="233"/>
      <c r="KMJ35" s="233"/>
      <c r="KMK35" s="233"/>
      <c r="KML35" s="233"/>
      <c r="KMM35" s="231"/>
      <c r="KMN35" s="231"/>
      <c r="KMO35" s="229"/>
      <c r="KMP35" s="230"/>
      <c r="KMQ35" s="231"/>
      <c r="KMR35" s="232"/>
      <c r="KMS35" s="233"/>
      <c r="KMT35" s="233"/>
      <c r="KMU35" s="233"/>
      <c r="KMV35" s="233"/>
      <c r="KMW35" s="233"/>
      <c r="KMX35" s="233"/>
      <c r="KMY35" s="231"/>
      <c r="KMZ35" s="231"/>
      <c r="KNA35" s="229"/>
      <c r="KNB35" s="230"/>
      <c r="KNC35" s="231"/>
      <c r="KND35" s="232"/>
      <c r="KNE35" s="233"/>
      <c r="KNF35" s="233"/>
      <c r="KNG35" s="233"/>
      <c r="KNH35" s="233"/>
      <c r="KNI35" s="233"/>
      <c r="KNJ35" s="233"/>
      <c r="KNK35" s="231"/>
      <c r="KNL35" s="231"/>
      <c r="KNM35" s="229"/>
      <c r="KNN35" s="230"/>
      <c r="KNO35" s="231"/>
      <c r="KNP35" s="232"/>
      <c r="KNQ35" s="233"/>
      <c r="KNR35" s="233"/>
      <c r="KNS35" s="233"/>
      <c r="KNT35" s="233"/>
      <c r="KNU35" s="233"/>
      <c r="KNV35" s="233"/>
      <c r="KNW35" s="231"/>
      <c r="KNX35" s="231"/>
      <c r="KNY35" s="229"/>
      <c r="KNZ35" s="230"/>
      <c r="KOA35" s="231"/>
      <c r="KOB35" s="232"/>
      <c r="KOC35" s="233"/>
      <c r="KOD35" s="233"/>
      <c r="KOE35" s="233"/>
      <c r="KOF35" s="233"/>
      <c r="KOG35" s="233"/>
      <c r="KOH35" s="233"/>
      <c r="KOI35" s="231"/>
      <c r="KOJ35" s="231"/>
      <c r="KOK35" s="229"/>
      <c r="KOL35" s="230"/>
      <c r="KOM35" s="231"/>
      <c r="KON35" s="232"/>
      <c r="KOO35" s="233"/>
      <c r="KOP35" s="233"/>
      <c r="KOQ35" s="233"/>
      <c r="KOR35" s="233"/>
      <c r="KOS35" s="233"/>
      <c r="KOT35" s="233"/>
      <c r="KOU35" s="231"/>
      <c r="KOV35" s="231"/>
      <c r="KOW35" s="229"/>
      <c r="KOX35" s="230"/>
      <c r="KOY35" s="231"/>
      <c r="KOZ35" s="232"/>
      <c r="KPA35" s="233"/>
      <c r="KPB35" s="233"/>
      <c r="KPC35" s="233"/>
      <c r="KPD35" s="233"/>
      <c r="KPE35" s="233"/>
      <c r="KPF35" s="233"/>
      <c r="KPG35" s="231"/>
      <c r="KPH35" s="231"/>
      <c r="KPI35" s="229"/>
      <c r="KPJ35" s="230"/>
      <c r="KPK35" s="231"/>
      <c r="KPL35" s="232"/>
      <c r="KPM35" s="233"/>
      <c r="KPN35" s="233"/>
      <c r="KPO35" s="233"/>
      <c r="KPP35" s="233"/>
      <c r="KPQ35" s="233"/>
      <c r="KPR35" s="233"/>
      <c r="KPS35" s="231"/>
      <c r="KPT35" s="231"/>
      <c r="KPU35" s="229"/>
      <c r="KPV35" s="230"/>
      <c r="KPW35" s="231"/>
      <c r="KPX35" s="232"/>
      <c r="KPY35" s="233"/>
      <c r="KPZ35" s="233"/>
      <c r="KQA35" s="233"/>
      <c r="KQB35" s="233"/>
      <c r="KQC35" s="233"/>
      <c r="KQD35" s="233"/>
      <c r="KQE35" s="231"/>
      <c r="KQF35" s="231"/>
      <c r="KQG35" s="229"/>
      <c r="KQH35" s="230"/>
      <c r="KQI35" s="231"/>
      <c r="KQJ35" s="232"/>
      <c r="KQK35" s="233"/>
      <c r="KQL35" s="233"/>
      <c r="KQM35" s="233"/>
      <c r="KQN35" s="233"/>
      <c r="KQO35" s="233"/>
      <c r="KQP35" s="233"/>
      <c r="KQQ35" s="231"/>
      <c r="KQR35" s="231"/>
      <c r="KQS35" s="229"/>
      <c r="KQT35" s="230"/>
      <c r="KQU35" s="231"/>
      <c r="KQV35" s="232"/>
      <c r="KQW35" s="233"/>
      <c r="KQX35" s="233"/>
      <c r="KQY35" s="233"/>
      <c r="KQZ35" s="233"/>
      <c r="KRA35" s="233"/>
      <c r="KRB35" s="233"/>
      <c r="KRC35" s="231"/>
      <c r="KRD35" s="231"/>
      <c r="KRE35" s="229"/>
      <c r="KRF35" s="230"/>
      <c r="KRG35" s="231"/>
      <c r="KRH35" s="232"/>
      <c r="KRI35" s="233"/>
      <c r="KRJ35" s="233"/>
      <c r="KRK35" s="233"/>
      <c r="KRL35" s="233"/>
      <c r="KRM35" s="233"/>
      <c r="KRN35" s="233"/>
      <c r="KRO35" s="231"/>
      <c r="KRP35" s="231"/>
      <c r="KRQ35" s="229"/>
      <c r="KRR35" s="230"/>
      <c r="KRS35" s="231"/>
      <c r="KRT35" s="232"/>
      <c r="KRU35" s="233"/>
      <c r="KRV35" s="233"/>
      <c r="KRW35" s="233"/>
      <c r="KRX35" s="233"/>
      <c r="KRY35" s="233"/>
      <c r="KRZ35" s="233"/>
      <c r="KSA35" s="231"/>
      <c r="KSB35" s="231"/>
      <c r="KSC35" s="229"/>
      <c r="KSD35" s="230"/>
      <c r="KSE35" s="231"/>
      <c r="KSF35" s="232"/>
      <c r="KSG35" s="233"/>
      <c r="KSH35" s="233"/>
      <c r="KSI35" s="233"/>
      <c r="KSJ35" s="233"/>
      <c r="KSK35" s="233"/>
      <c r="KSL35" s="233"/>
      <c r="KSM35" s="231"/>
      <c r="KSN35" s="231"/>
      <c r="KSO35" s="229"/>
      <c r="KSP35" s="230"/>
      <c r="KSQ35" s="231"/>
      <c r="KSR35" s="232"/>
      <c r="KSS35" s="233"/>
      <c r="KST35" s="233"/>
      <c r="KSU35" s="233"/>
      <c r="KSV35" s="233"/>
      <c r="KSW35" s="233"/>
      <c r="KSX35" s="233"/>
      <c r="KSY35" s="231"/>
      <c r="KSZ35" s="231"/>
      <c r="KTA35" s="229"/>
      <c r="KTB35" s="230"/>
      <c r="KTC35" s="231"/>
      <c r="KTD35" s="232"/>
      <c r="KTE35" s="233"/>
      <c r="KTF35" s="233"/>
      <c r="KTG35" s="233"/>
      <c r="KTH35" s="233"/>
      <c r="KTI35" s="233"/>
      <c r="KTJ35" s="233"/>
      <c r="KTK35" s="231"/>
      <c r="KTL35" s="231"/>
      <c r="KTM35" s="229"/>
      <c r="KTN35" s="230"/>
      <c r="KTO35" s="231"/>
      <c r="KTP35" s="232"/>
      <c r="KTQ35" s="233"/>
      <c r="KTR35" s="233"/>
      <c r="KTS35" s="233"/>
      <c r="KTT35" s="233"/>
      <c r="KTU35" s="233"/>
      <c r="KTV35" s="233"/>
      <c r="KTW35" s="231"/>
      <c r="KTX35" s="231"/>
      <c r="KTY35" s="229"/>
      <c r="KTZ35" s="230"/>
      <c r="KUA35" s="231"/>
      <c r="KUB35" s="232"/>
      <c r="KUC35" s="233"/>
      <c r="KUD35" s="233"/>
      <c r="KUE35" s="233"/>
      <c r="KUF35" s="233"/>
      <c r="KUG35" s="233"/>
      <c r="KUH35" s="233"/>
      <c r="KUI35" s="231"/>
      <c r="KUJ35" s="231"/>
      <c r="KUK35" s="229"/>
      <c r="KUL35" s="230"/>
      <c r="KUM35" s="231"/>
      <c r="KUN35" s="232"/>
      <c r="KUO35" s="233"/>
      <c r="KUP35" s="233"/>
      <c r="KUQ35" s="233"/>
      <c r="KUR35" s="233"/>
      <c r="KUS35" s="233"/>
      <c r="KUT35" s="233"/>
      <c r="KUU35" s="231"/>
      <c r="KUV35" s="231"/>
      <c r="KUW35" s="229"/>
      <c r="KUX35" s="230"/>
      <c r="KUY35" s="231"/>
      <c r="KUZ35" s="232"/>
      <c r="KVA35" s="233"/>
      <c r="KVB35" s="233"/>
      <c r="KVC35" s="233"/>
      <c r="KVD35" s="233"/>
      <c r="KVE35" s="233"/>
      <c r="KVF35" s="233"/>
      <c r="KVG35" s="231"/>
      <c r="KVH35" s="231"/>
      <c r="KVI35" s="229"/>
      <c r="KVJ35" s="230"/>
      <c r="KVK35" s="231"/>
      <c r="KVL35" s="232"/>
      <c r="KVM35" s="233"/>
      <c r="KVN35" s="233"/>
      <c r="KVO35" s="233"/>
      <c r="KVP35" s="233"/>
      <c r="KVQ35" s="233"/>
      <c r="KVR35" s="233"/>
      <c r="KVS35" s="231"/>
      <c r="KVT35" s="231"/>
      <c r="KVU35" s="229"/>
      <c r="KVV35" s="230"/>
      <c r="KVW35" s="231"/>
      <c r="KVX35" s="232"/>
      <c r="KVY35" s="233"/>
      <c r="KVZ35" s="233"/>
      <c r="KWA35" s="233"/>
      <c r="KWB35" s="233"/>
      <c r="KWC35" s="233"/>
      <c r="KWD35" s="233"/>
      <c r="KWE35" s="231"/>
      <c r="KWF35" s="231"/>
      <c r="KWG35" s="229"/>
      <c r="KWH35" s="230"/>
      <c r="KWI35" s="231"/>
      <c r="KWJ35" s="232"/>
      <c r="KWK35" s="233"/>
      <c r="KWL35" s="233"/>
      <c r="KWM35" s="233"/>
      <c r="KWN35" s="233"/>
      <c r="KWO35" s="233"/>
      <c r="KWP35" s="233"/>
      <c r="KWQ35" s="231"/>
      <c r="KWR35" s="231"/>
      <c r="KWS35" s="229"/>
      <c r="KWT35" s="230"/>
      <c r="KWU35" s="231"/>
      <c r="KWV35" s="232"/>
      <c r="KWW35" s="233"/>
      <c r="KWX35" s="233"/>
      <c r="KWY35" s="233"/>
      <c r="KWZ35" s="233"/>
      <c r="KXA35" s="233"/>
      <c r="KXB35" s="233"/>
      <c r="KXC35" s="231"/>
      <c r="KXD35" s="231"/>
      <c r="KXE35" s="229"/>
      <c r="KXF35" s="230"/>
      <c r="KXG35" s="231"/>
      <c r="KXH35" s="232"/>
      <c r="KXI35" s="233"/>
      <c r="KXJ35" s="233"/>
      <c r="KXK35" s="233"/>
      <c r="KXL35" s="233"/>
      <c r="KXM35" s="233"/>
      <c r="KXN35" s="233"/>
      <c r="KXO35" s="231"/>
      <c r="KXP35" s="231"/>
      <c r="KXQ35" s="229"/>
      <c r="KXR35" s="230"/>
      <c r="KXS35" s="231"/>
      <c r="KXT35" s="232"/>
      <c r="KXU35" s="233"/>
      <c r="KXV35" s="233"/>
      <c r="KXW35" s="233"/>
      <c r="KXX35" s="233"/>
      <c r="KXY35" s="233"/>
      <c r="KXZ35" s="233"/>
      <c r="KYA35" s="231"/>
      <c r="KYB35" s="231"/>
      <c r="KYC35" s="229"/>
      <c r="KYD35" s="230"/>
      <c r="KYE35" s="231"/>
      <c r="KYF35" s="232"/>
      <c r="KYG35" s="233"/>
      <c r="KYH35" s="233"/>
      <c r="KYI35" s="233"/>
      <c r="KYJ35" s="233"/>
      <c r="KYK35" s="233"/>
      <c r="KYL35" s="233"/>
      <c r="KYM35" s="231"/>
      <c r="KYN35" s="231"/>
      <c r="KYO35" s="229"/>
      <c r="KYP35" s="230"/>
      <c r="KYQ35" s="231"/>
      <c r="KYR35" s="232"/>
      <c r="KYS35" s="233"/>
      <c r="KYT35" s="233"/>
      <c r="KYU35" s="233"/>
      <c r="KYV35" s="233"/>
      <c r="KYW35" s="233"/>
      <c r="KYX35" s="233"/>
      <c r="KYY35" s="231"/>
      <c r="KYZ35" s="231"/>
      <c r="KZA35" s="229"/>
      <c r="KZB35" s="230"/>
      <c r="KZC35" s="231"/>
      <c r="KZD35" s="232"/>
      <c r="KZE35" s="233"/>
      <c r="KZF35" s="233"/>
      <c r="KZG35" s="233"/>
      <c r="KZH35" s="233"/>
      <c r="KZI35" s="233"/>
      <c r="KZJ35" s="233"/>
      <c r="KZK35" s="231"/>
      <c r="KZL35" s="231"/>
      <c r="KZM35" s="229"/>
      <c r="KZN35" s="230"/>
      <c r="KZO35" s="231"/>
      <c r="KZP35" s="232"/>
      <c r="KZQ35" s="233"/>
      <c r="KZR35" s="233"/>
      <c r="KZS35" s="233"/>
      <c r="KZT35" s="233"/>
      <c r="KZU35" s="233"/>
      <c r="KZV35" s="233"/>
      <c r="KZW35" s="231"/>
      <c r="KZX35" s="231"/>
      <c r="KZY35" s="229"/>
      <c r="KZZ35" s="230"/>
      <c r="LAA35" s="231"/>
      <c r="LAB35" s="232"/>
      <c r="LAC35" s="233"/>
      <c r="LAD35" s="233"/>
      <c r="LAE35" s="233"/>
      <c r="LAF35" s="233"/>
      <c r="LAG35" s="233"/>
      <c r="LAH35" s="233"/>
      <c r="LAI35" s="231"/>
      <c r="LAJ35" s="231"/>
      <c r="LAK35" s="229"/>
      <c r="LAL35" s="230"/>
      <c r="LAM35" s="231"/>
      <c r="LAN35" s="232"/>
      <c r="LAO35" s="233"/>
      <c r="LAP35" s="233"/>
      <c r="LAQ35" s="233"/>
      <c r="LAR35" s="233"/>
      <c r="LAS35" s="233"/>
      <c r="LAT35" s="233"/>
      <c r="LAU35" s="231"/>
      <c r="LAV35" s="231"/>
      <c r="LAW35" s="229"/>
      <c r="LAX35" s="230"/>
      <c r="LAY35" s="231"/>
      <c r="LAZ35" s="232"/>
      <c r="LBA35" s="233"/>
      <c r="LBB35" s="233"/>
      <c r="LBC35" s="233"/>
      <c r="LBD35" s="233"/>
      <c r="LBE35" s="233"/>
      <c r="LBF35" s="233"/>
      <c r="LBG35" s="231"/>
      <c r="LBH35" s="231"/>
      <c r="LBI35" s="229"/>
      <c r="LBJ35" s="230"/>
      <c r="LBK35" s="231"/>
      <c r="LBL35" s="232"/>
      <c r="LBM35" s="233"/>
      <c r="LBN35" s="233"/>
      <c r="LBO35" s="233"/>
      <c r="LBP35" s="233"/>
      <c r="LBQ35" s="233"/>
      <c r="LBR35" s="233"/>
      <c r="LBS35" s="231"/>
      <c r="LBT35" s="231"/>
      <c r="LBU35" s="229"/>
      <c r="LBV35" s="230"/>
      <c r="LBW35" s="231"/>
      <c r="LBX35" s="232"/>
      <c r="LBY35" s="233"/>
      <c r="LBZ35" s="233"/>
      <c r="LCA35" s="233"/>
      <c r="LCB35" s="233"/>
      <c r="LCC35" s="233"/>
      <c r="LCD35" s="233"/>
      <c r="LCE35" s="231"/>
      <c r="LCF35" s="231"/>
      <c r="LCG35" s="229"/>
      <c r="LCH35" s="230"/>
      <c r="LCI35" s="231"/>
      <c r="LCJ35" s="232"/>
      <c r="LCK35" s="233"/>
      <c r="LCL35" s="233"/>
      <c r="LCM35" s="233"/>
      <c r="LCN35" s="233"/>
      <c r="LCO35" s="233"/>
      <c r="LCP35" s="233"/>
      <c r="LCQ35" s="231"/>
      <c r="LCR35" s="231"/>
      <c r="LCS35" s="229"/>
      <c r="LCT35" s="230"/>
      <c r="LCU35" s="231"/>
      <c r="LCV35" s="232"/>
      <c r="LCW35" s="233"/>
      <c r="LCX35" s="233"/>
      <c r="LCY35" s="233"/>
      <c r="LCZ35" s="233"/>
      <c r="LDA35" s="233"/>
      <c r="LDB35" s="233"/>
      <c r="LDC35" s="231"/>
      <c r="LDD35" s="231"/>
      <c r="LDE35" s="229"/>
      <c r="LDF35" s="230"/>
      <c r="LDG35" s="231"/>
      <c r="LDH35" s="232"/>
      <c r="LDI35" s="233"/>
      <c r="LDJ35" s="233"/>
      <c r="LDK35" s="233"/>
      <c r="LDL35" s="233"/>
      <c r="LDM35" s="233"/>
      <c r="LDN35" s="233"/>
      <c r="LDO35" s="231"/>
      <c r="LDP35" s="231"/>
      <c r="LDQ35" s="229"/>
      <c r="LDR35" s="230"/>
      <c r="LDS35" s="231"/>
      <c r="LDT35" s="232"/>
      <c r="LDU35" s="233"/>
      <c r="LDV35" s="233"/>
      <c r="LDW35" s="233"/>
      <c r="LDX35" s="233"/>
      <c r="LDY35" s="233"/>
      <c r="LDZ35" s="233"/>
      <c r="LEA35" s="231"/>
      <c r="LEB35" s="231"/>
      <c r="LEC35" s="229"/>
      <c r="LED35" s="230"/>
      <c r="LEE35" s="231"/>
      <c r="LEF35" s="232"/>
      <c r="LEG35" s="233"/>
      <c r="LEH35" s="233"/>
      <c r="LEI35" s="233"/>
      <c r="LEJ35" s="233"/>
      <c r="LEK35" s="233"/>
      <c r="LEL35" s="233"/>
      <c r="LEM35" s="231"/>
      <c r="LEN35" s="231"/>
      <c r="LEO35" s="229"/>
      <c r="LEP35" s="230"/>
      <c r="LEQ35" s="231"/>
      <c r="LER35" s="232"/>
      <c r="LES35" s="233"/>
      <c r="LET35" s="233"/>
      <c r="LEU35" s="233"/>
      <c r="LEV35" s="233"/>
      <c r="LEW35" s="233"/>
      <c r="LEX35" s="233"/>
      <c r="LEY35" s="231"/>
      <c r="LEZ35" s="231"/>
      <c r="LFA35" s="229"/>
      <c r="LFB35" s="230"/>
      <c r="LFC35" s="231"/>
      <c r="LFD35" s="232"/>
      <c r="LFE35" s="233"/>
      <c r="LFF35" s="233"/>
      <c r="LFG35" s="233"/>
      <c r="LFH35" s="233"/>
      <c r="LFI35" s="233"/>
      <c r="LFJ35" s="233"/>
      <c r="LFK35" s="231"/>
      <c r="LFL35" s="231"/>
      <c r="LFM35" s="229"/>
      <c r="LFN35" s="230"/>
      <c r="LFO35" s="231"/>
      <c r="LFP35" s="232"/>
      <c r="LFQ35" s="233"/>
      <c r="LFR35" s="233"/>
      <c r="LFS35" s="233"/>
      <c r="LFT35" s="233"/>
      <c r="LFU35" s="233"/>
      <c r="LFV35" s="233"/>
      <c r="LFW35" s="231"/>
      <c r="LFX35" s="231"/>
      <c r="LFY35" s="229"/>
      <c r="LFZ35" s="230"/>
      <c r="LGA35" s="231"/>
      <c r="LGB35" s="232"/>
      <c r="LGC35" s="233"/>
      <c r="LGD35" s="233"/>
      <c r="LGE35" s="233"/>
      <c r="LGF35" s="233"/>
      <c r="LGG35" s="233"/>
      <c r="LGH35" s="233"/>
      <c r="LGI35" s="231"/>
      <c r="LGJ35" s="231"/>
      <c r="LGK35" s="229"/>
      <c r="LGL35" s="230"/>
      <c r="LGM35" s="231"/>
      <c r="LGN35" s="232"/>
      <c r="LGO35" s="233"/>
      <c r="LGP35" s="233"/>
      <c r="LGQ35" s="233"/>
      <c r="LGR35" s="233"/>
      <c r="LGS35" s="233"/>
      <c r="LGT35" s="233"/>
      <c r="LGU35" s="231"/>
      <c r="LGV35" s="231"/>
      <c r="LGW35" s="229"/>
      <c r="LGX35" s="230"/>
      <c r="LGY35" s="231"/>
      <c r="LGZ35" s="232"/>
      <c r="LHA35" s="233"/>
      <c r="LHB35" s="233"/>
      <c r="LHC35" s="233"/>
      <c r="LHD35" s="233"/>
      <c r="LHE35" s="233"/>
      <c r="LHF35" s="233"/>
      <c r="LHG35" s="231"/>
      <c r="LHH35" s="231"/>
      <c r="LHI35" s="229"/>
      <c r="LHJ35" s="230"/>
      <c r="LHK35" s="231"/>
      <c r="LHL35" s="232"/>
      <c r="LHM35" s="233"/>
      <c r="LHN35" s="233"/>
      <c r="LHO35" s="233"/>
      <c r="LHP35" s="233"/>
      <c r="LHQ35" s="233"/>
      <c r="LHR35" s="233"/>
      <c r="LHS35" s="231"/>
      <c r="LHT35" s="231"/>
      <c r="LHU35" s="229"/>
      <c r="LHV35" s="230"/>
      <c r="LHW35" s="231"/>
      <c r="LHX35" s="232"/>
      <c r="LHY35" s="233"/>
      <c r="LHZ35" s="233"/>
      <c r="LIA35" s="233"/>
      <c r="LIB35" s="233"/>
      <c r="LIC35" s="233"/>
      <c r="LID35" s="233"/>
      <c r="LIE35" s="231"/>
      <c r="LIF35" s="231"/>
      <c r="LIG35" s="229"/>
      <c r="LIH35" s="230"/>
      <c r="LII35" s="231"/>
      <c r="LIJ35" s="232"/>
      <c r="LIK35" s="233"/>
      <c r="LIL35" s="233"/>
      <c r="LIM35" s="233"/>
      <c r="LIN35" s="233"/>
      <c r="LIO35" s="233"/>
      <c r="LIP35" s="233"/>
      <c r="LIQ35" s="231"/>
      <c r="LIR35" s="231"/>
      <c r="LIS35" s="229"/>
      <c r="LIT35" s="230"/>
      <c r="LIU35" s="231"/>
      <c r="LIV35" s="232"/>
      <c r="LIW35" s="233"/>
      <c r="LIX35" s="233"/>
      <c r="LIY35" s="233"/>
      <c r="LIZ35" s="233"/>
      <c r="LJA35" s="233"/>
      <c r="LJB35" s="233"/>
      <c r="LJC35" s="231"/>
      <c r="LJD35" s="231"/>
      <c r="LJE35" s="229"/>
      <c r="LJF35" s="230"/>
      <c r="LJG35" s="231"/>
      <c r="LJH35" s="232"/>
      <c r="LJI35" s="233"/>
      <c r="LJJ35" s="233"/>
      <c r="LJK35" s="233"/>
      <c r="LJL35" s="233"/>
      <c r="LJM35" s="233"/>
      <c r="LJN35" s="233"/>
      <c r="LJO35" s="231"/>
      <c r="LJP35" s="231"/>
      <c r="LJQ35" s="229"/>
      <c r="LJR35" s="230"/>
      <c r="LJS35" s="231"/>
      <c r="LJT35" s="232"/>
      <c r="LJU35" s="233"/>
      <c r="LJV35" s="233"/>
      <c r="LJW35" s="233"/>
      <c r="LJX35" s="233"/>
      <c r="LJY35" s="233"/>
      <c r="LJZ35" s="233"/>
      <c r="LKA35" s="231"/>
      <c r="LKB35" s="231"/>
      <c r="LKC35" s="229"/>
      <c r="LKD35" s="230"/>
      <c r="LKE35" s="231"/>
      <c r="LKF35" s="232"/>
      <c r="LKG35" s="233"/>
      <c r="LKH35" s="233"/>
      <c r="LKI35" s="233"/>
      <c r="LKJ35" s="233"/>
      <c r="LKK35" s="233"/>
      <c r="LKL35" s="233"/>
      <c r="LKM35" s="231"/>
      <c r="LKN35" s="231"/>
      <c r="LKO35" s="229"/>
      <c r="LKP35" s="230"/>
      <c r="LKQ35" s="231"/>
      <c r="LKR35" s="232"/>
      <c r="LKS35" s="233"/>
      <c r="LKT35" s="233"/>
      <c r="LKU35" s="233"/>
      <c r="LKV35" s="233"/>
      <c r="LKW35" s="233"/>
      <c r="LKX35" s="233"/>
      <c r="LKY35" s="231"/>
      <c r="LKZ35" s="231"/>
      <c r="LLA35" s="229"/>
      <c r="LLB35" s="230"/>
      <c r="LLC35" s="231"/>
      <c r="LLD35" s="232"/>
      <c r="LLE35" s="233"/>
      <c r="LLF35" s="233"/>
      <c r="LLG35" s="233"/>
      <c r="LLH35" s="233"/>
      <c r="LLI35" s="233"/>
      <c r="LLJ35" s="233"/>
      <c r="LLK35" s="231"/>
      <c r="LLL35" s="231"/>
      <c r="LLM35" s="229"/>
      <c r="LLN35" s="230"/>
      <c r="LLO35" s="231"/>
      <c r="LLP35" s="232"/>
      <c r="LLQ35" s="233"/>
      <c r="LLR35" s="233"/>
      <c r="LLS35" s="233"/>
      <c r="LLT35" s="233"/>
      <c r="LLU35" s="233"/>
      <c r="LLV35" s="233"/>
      <c r="LLW35" s="231"/>
      <c r="LLX35" s="231"/>
      <c r="LLY35" s="229"/>
      <c r="LLZ35" s="230"/>
      <c r="LMA35" s="231"/>
      <c r="LMB35" s="232"/>
      <c r="LMC35" s="233"/>
      <c r="LMD35" s="233"/>
      <c r="LME35" s="233"/>
      <c r="LMF35" s="233"/>
      <c r="LMG35" s="233"/>
      <c r="LMH35" s="233"/>
      <c r="LMI35" s="231"/>
      <c r="LMJ35" s="231"/>
      <c r="LMK35" s="229"/>
      <c r="LML35" s="230"/>
      <c r="LMM35" s="231"/>
      <c r="LMN35" s="232"/>
      <c r="LMO35" s="233"/>
      <c r="LMP35" s="233"/>
      <c r="LMQ35" s="233"/>
      <c r="LMR35" s="233"/>
      <c r="LMS35" s="233"/>
      <c r="LMT35" s="233"/>
      <c r="LMU35" s="231"/>
      <c r="LMV35" s="231"/>
      <c r="LMW35" s="229"/>
      <c r="LMX35" s="230"/>
      <c r="LMY35" s="231"/>
      <c r="LMZ35" s="232"/>
      <c r="LNA35" s="233"/>
      <c r="LNB35" s="233"/>
      <c r="LNC35" s="233"/>
      <c r="LND35" s="233"/>
      <c r="LNE35" s="233"/>
      <c r="LNF35" s="233"/>
      <c r="LNG35" s="231"/>
      <c r="LNH35" s="231"/>
      <c r="LNI35" s="229"/>
      <c r="LNJ35" s="230"/>
      <c r="LNK35" s="231"/>
      <c r="LNL35" s="232"/>
      <c r="LNM35" s="233"/>
      <c r="LNN35" s="233"/>
      <c r="LNO35" s="233"/>
      <c r="LNP35" s="233"/>
      <c r="LNQ35" s="233"/>
      <c r="LNR35" s="233"/>
      <c r="LNS35" s="231"/>
      <c r="LNT35" s="231"/>
      <c r="LNU35" s="229"/>
      <c r="LNV35" s="230"/>
      <c r="LNW35" s="231"/>
      <c r="LNX35" s="232"/>
      <c r="LNY35" s="233"/>
      <c r="LNZ35" s="233"/>
      <c r="LOA35" s="233"/>
      <c r="LOB35" s="233"/>
      <c r="LOC35" s="233"/>
      <c r="LOD35" s="233"/>
      <c r="LOE35" s="231"/>
      <c r="LOF35" s="231"/>
      <c r="LOG35" s="229"/>
      <c r="LOH35" s="230"/>
      <c r="LOI35" s="231"/>
      <c r="LOJ35" s="232"/>
      <c r="LOK35" s="233"/>
      <c r="LOL35" s="233"/>
      <c r="LOM35" s="233"/>
      <c r="LON35" s="233"/>
      <c r="LOO35" s="233"/>
      <c r="LOP35" s="233"/>
      <c r="LOQ35" s="231"/>
      <c r="LOR35" s="231"/>
      <c r="LOS35" s="229"/>
      <c r="LOT35" s="230"/>
      <c r="LOU35" s="231"/>
      <c r="LOV35" s="232"/>
      <c r="LOW35" s="233"/>
      <c r="LOX35" s="233"/>
      <c r="LOY35" s="233"/>
      <c r="LOZ35" s="233"/>
      <c r="LPA35" s="233"/>
      <c r="LPB35" s="233"/>
      <c r="LPC35" s="231"/>
      <c r="LPD35" s="231"/>
      <c r="LPE35" s="229"/>
      <c r="LPF35" s="230"/>
      <c r="LPG35" s="231"/>
      <c r="LPH35" s="232"/>
      <c r="LPI35" s="233"/>
      <c r="LPJ35" s="233"/>
      <c r="LPK35" s="233"/>
      <c r="LPL35" s="233"/>
      <c r="LPM35" s="233"/>
      <c r="LPN35" s="233"/>
      <c r="LPO35" s="231"/>
      <c r="LPP35" s="231"/>
      <c r="LPQ35" s="229"/>
      <c r="LPR35" s="230"/>
      <c r="LPS35" s="231"/>
      <c r="LPT35" s="232"/>
      <c r="LPU35" s="233"/>
      <c r="LPV35" s="233"/>
      <c r="LPW35" s="233"/>
      <c r="LPX35" s="233"/>
      <c r="LPY35" s="233"/>
      <c r="LPZ35" s="233"/>
      <c r="LQA35" s="231"/>
      <c r="LQB35" s="231"/>
      <c r="LQC35" s="229"/>
      <c r="LQD35" s="230"/>
      <c r="LQE35" s="231"/>
      <c r="LQF35" s="232"/>
      <c r="LQG35" s="233"/>
      <c r="LQH35" s="233"/>
      <c r="LQI35" s="233"/>
      <c r="LQJ35" s="233"/>
      <c r="LQK35" s="233"/>
      <c r="LQL35" s="233"/>
      <c r="LQM35" s="231"/>
      <c r="LQN35" s="231"/>
      <c r="LQO35" s="229"/>
      <c r="LQP35" s="230"/>
      <c r="LQQ35" s="231"/>
      <c r="LQR35" s="232"/>
      <c r="LQS35" s="233"/>
      <c r="LQT35" s="233"/>
      <c r="LQU35" s="233"/>
      <c r="LQV35" s="233"/>
      <c r="LQW35" s="233"/>
      <c r="LQX35" s="233"/>
      <c r="LQY35" s="231"/>
      <c r="LQZ35" s="231"/>
      <c r="LRA35" s="229"/>
      <c r="LRB35" s="230"/>
      <c r="LRC35" s="231"/>
      <c r="LRD35" s="232"/>
      <c r="LRE35" s="233"/>
      <c r="LRF35" s="233"/>
      <c r="LRG35" s="233"/>
      <c r="LRH35" s="233"/>
      <c r="LRI35" s="233"/>
      <c r="LRJ35" s="233"/>
      <c r="LRK35" s="231"/>
      <c r="LRL35" s="231"/>
      <c r="LRM35" s="229"/>
      <c r="LRN35" s="230"/>
      <c r="LRO35" s="231"/>
      <c r="LRP35" s="232"/>
      <c r="LRQ35" s="233"/>
      <c r="LRR35" s="233"/>
      <c r="LRS35" s="233"/>
      <c r="LRT35" s="233"/>
      <c r="LRU35" s="233"/>
      <c r="LRV35" s="233"/>
      <c r="LRW35" s="231"/>
      <c r="LRX35" s="231"/>
      <c r="LRY35" s="229"/>
      <c r="LRZ35" s="230"/>
      <c r="LSA35" s="231"/>
      <c r="LSB35" s="232"/>
      <c r="LSC35" s="233"/>
      <c r="LSD35" s="233"/>
      <c r="LSE35" s="233"/>
      <c r="LSF35" s="233"/>
      <c r="LSG35" s="233"/>
      <c r="LSH35" s="233"/>
      <c r="LSI35" s="231"/>
      <c r="LSJ35" s="231"/>
      <c r="LSK35" s="229"/>
      <c r="LSL35" s="230"/>
      <c r="LSM35" s="231"/>
      <c r="LSN35" s="232"/>
      <c r="LSO35" s="233"/>
      <c r="LSP35" s="233"/>
      <c r="LSQ35" s="233"/>
      <c r="LSR35" s="233"/>
      <c r="LSS35" s="233"/>
      <c r="LST35" s="233"/>
      <c r="LSU35" s="231"/>
      <c r="LSV35" s="231"/>
      <c r="LSW35" s="229"/>
      <c r="LSX35" s="230"/>
      <c r="LSY35" s="231"/>
      <c r="LSZ35" s="232"/>
      <c r="LTA35" s="233"/>
      <c r="LTB35" s="233"/>
      <c r="LTC35" s="233"/>
      <c r="LTD35" s="233"/>
      <c r="LTE35" s="233"/>
      <c r="LTF35" s="233"/>
      <c r="LTG35" s="231"/>
      <c r="LTH35" s="231"/>
      <c r="LTI35" s="229"/>
      <c r="LTJ35" s="230"/>
      <c r="LTK35" s="231"/>
      <c r="LTL35" s="232"/>
      <c r="LTM35" s="233"/>
      <c r="LTN35" s="233"/>
      <c r="LTO35" s="233"/>
      <c r="LTP35" s="233"/>
      <c r="LTQ35" s="233"/>
      <c r="LTR35" s="233"/>
      <c r="LTS35" s="231"/>
      <c r="LTT35" s="231"/>
      <c r="LTU35" s="229"/>
      <c r="LTV35" s="230"/>
      <c r="LTW35" s="231"/>
      <c r="LTX35" s="232"/>
      <c r="LTY35" s="233"/>
      <c r="LTZ35" s="233"/>
      <c r="LUA35" s="233"/>
      <c r="LUB35" s="233"/>
      <c r="LUC35" s="233"/>
      <c r="LUD35" s="233"/>
      <c r="LUE35" s="231"/>
      <c r="LUF35" s="231"/>
      <c r="LUG35" s="229"/>
      <c r="LUH35" s="230"/>
      <c r="LUI35" s="231"/>
      <c r="LUJ35" s="232"/>
      <c r="LUK35" s="233"/>
      <c r="LUL35" s="233"/>
      <c r="LUM35" s="233"/>
      <c r="LUN35" s="233"/>
      <c r="LUO35" s="233"/>
      <c r="LUP35" s="233"/>
      <c r="LUQ35" s="231"/>
      <c r="LUR35" s="231"/>
      <c r="LUS35" s="229"/>
      <c r="LUT35" s="230"/>
      <c r="LUU35" s="231"/>
      <c r="LUV35" s="232"/>
      <c r="LUW35" s="233"/>
      <c r="LUX35" s="233"/>
      <c r="LUY35" s="233"/>
      <c r="LUZ35" s="233"/>
      <c r="LVA35" s="233"/>
      <c r="LVB35" s="233"/>
      <c r="LVC35" s="231"/>
      <c r="LVD35" s="231"/>
      <c r="LVE35" s="229"/>
      <c r="LVF35" s="230"/>
      <c r="LVG35" s="231"/>
      <c r="LVH35" s="232"/>
      <c r="LVI35" s="233"/>
      <c r="LVJ35" s="233"/>
      <c r="LVK35" s="233"/>
      <c r="LVL35" s="233"/>
      <c r="LVM35" s="233"/>
      <c r="LVN35" s="233"/>
      <c r="LVO35" s="231"/>
      <c r="LVP35" s="231"/>
      <c r="LVQ35" s="229"/>
      <c r="LVR35" s="230"/>
      <c r="LVS35" s="231"/>
      <c r="LVT35" s="232"/>
      <c r="LVU35" s="233"/>
      <c r="LVV35" s="233"/>
      <c r="LVW35" s="233"/>
      <c r="LVX35" s="233"/>
      <c r="LVY35" s="233"/>
      <c r="LVZ35" s="233"/>
      <c r="LWA35" s="231"/>
      <c r="LWB35" s="231"/>
      <c r="LWC35" s="229"/>
      <c r="LWD35" s="230"/>
      <c r="LWE35" s="231"/>
      <c r="LWF35" s="232"/>
      <c r="LWG35" s="233"/>
      <c r="LWH35" s="233"/>
      <c r="LWI35" s="233"/>
      <c r="LWJ35" s="233"/>
      <c r="LWK35" s="233"/>
      <c r="LWL35" s="233"/>
      <c r="LWM35" s="231"/>
      <c r="LWN35" s="231"/>
      <c r="LWO35" s="229"/>
      <c r="LWP35" s="230"/>
      <c r="LWQ35" s="231"/>
      <c r="LWR35" s="232"/>
      <c r="LWS35" s="233"/>
      <c r="LWT35" s="233"/>
      <c r="LWU35" s="233"/>
      <c r="LWV35" s="233"/>
      <c r="LWW35" s="233"/>
      <c r="LWX35" s="233"/>
      <c r="LWY35" s="231"/>
      <c r="LWZ35" s="231"/>
      <c r="LXA35" s="229"/>
      <c r="LXB35" s="230"/>
      <c r="LXC35" s="231"/>
      <c r="LXD35" s="232"/>
      <c r="LXE35" s="233"/>
      <c r="LXF35" s="233"/>
      <c r="LXG35" s="233"/>
      <c r="LXH35" s="233"/>
      <c r="LXI35" s="233"/>
      <c r="LXJ35" s="233"/>
      <c r="LXK35" s="231"/>
      <c r="LXL35" s="231"/>
      <c r="LXM35" s="229"/>
      <c r="LXN35" s="230"/>
      <c r="LXO35" s="231"/>
      <c r="LXP35" s="232"/>
      <c r="LXQ35" s="233"/>
      <c r="LXR35" s="233"/>
      <c r="LXS35" s="233"/>
      <c r="LXT35" s="233"/>
      <c r="LXU35" s="233"/>
      <c r="LXV35" s="233"/>
      <c r="LXW35" s="231"/>
      <c r="LXX35" s="231"/>
      <c r="LXY35" s="229"/>
      <c r="LXZ35" s="230"/>
      <c r="LYA35" s="231"/>
      <c r="LYB35" s="232"/>
      <c r="LYC35" s="233"/>
      <c r="LYD35" s="233"/>
      <c r="LYE35" s="233"/>
      <c r="LYF35" s="233"/>
      <c r="LYG35" s="233"/>
      <c r="LYH35" s="233"/>
      <c r="LYI35" s="231"/>
      <c r="LYJ35" s="231"/>
      <c r="LYK35" s="229"/>
      <c r="LYL35" s="230"/>
      <c r="LYM35" s="231"/>
      <c r="LYN35" s="232"/>
      <c r="LYO35" s="233"/>
      <c r="LYP35" s="233"/>
      <c r="LYQ35" s="233"/>
      <c r="LYR35" s="233"/>
      <c r="LYS35" s="233"/>
      <c r="LYT35" s="233"/>
      <c r="LYU35" s="231"/>
      <c r="LYV35" s="231"/>
      <c r="LYW35" s="229"/>
      <c r="LYX35" s="230"/>
      <c r="LYY35" s="231"/>
      <c r="LYZ35" s="232"/>
      <c r="LZA35" s="233"/>
      <c r="LZB35" s="233"/>
      <c r="LZC35" s="233"/>
      <c r="LZD35" s="233"/>
      <c r="LZE35" s="233"/>
      <c r="LZF35" s="233"/>
      <c r="LZG35" s="231"/>
      <c r="LZH35" s="231"/>
      <c r="LZI35" s="229"/>
      <c r="LZJ35" s="230"/>
      <c r="LZK35" s="231"/>
      <c r="LZL35" s="232"/>
      <c r="LZM35" s="233"/>
      <c r="LZN35" s="233"/>
      <c r="LZO35" s="233"/>
      <c r="LZP35" s="233"/>
      <c r="LZQ35" s="233"/>
      <c r="LZR35" s="233"/>
      <c r="LZS35" s="231"/>
      <c r="LZT35" s="231"/>
      <c r="LZU35" s="229"/>
      <c r="LZV35" s="230"/>
      <c r="LZW35" s="231"/>
      <c r="LZX35" s="232"/>
      <c r="LZY35" s="233"/>
      <c r="LZZ35" s="233"/>
      <c r="MAA35" s="233"/>
      <c r="MAB35" s="233"/>
      <c r="MAC35" s="233"/>
      <c r="MAD35" s="233"/>
      <c r="MAE35" s="231"/>
      <c r="MAF35" s="231"/>
      <c r="MAG35" s="229"/>
      <c r="MAH35" s="230"/>
      <c r="MAI35" s="231"/>
      <c r="MAJ35" s="232"/>
      <c r="MAK35" s="233"/>
      <c r="MAL35" s="233"/>
      <c r="MAM35" s="233"/>
      <c r="MAN35" s="233"/>
      <c r="MAO35" s="233"/>
      <c r="MAP35" s="233"/>
      <c r="MAQ35" s="231"/>
      <c r="MAR35" s="231"/>
      <c r="MAS35" s="229"/>
      <c r="MAT35" s="230"/>
      <c r="MAU35" s="231"/>
      <c r="MAV35" s="232"/>
      <c r="MAW35" s="233"/>
      <c r="MAX35" s="233"/>
      <c r="MAY35" s="233"/>
      <c r="MAZ35" s="233"/>
      <c r="MBA35" s="233"/>
      <c r="MBB35" s="233"/>
      <c r="MBC35" s="231"/>
      <c r="MBD35" s="231"/>
      <c r="MBE35" s="229"/>
      <c r="MBF35" s="230"/>
      <c r="MBG35" s="231"/>
      <c r="MBH35" s="232"/>
      <c r="MBI35" s="233"/>
      <c r="MBJ35" s="233"/>
      <c r="MBK35" s="233"/>
      <c r="MBL35" s="233"/>
      <c r="MBM35" s="233"/>
      <c r="MBN35" s="233"/>
      <c r="MBO35" s="231"/>
      <c r="MBP35" s="231"/>
      <c r="MBQ35" s="229"/>
      <c r="MBR35" s="230"/>
      <c r="MBS35" s="231"/>
      <c r="MBT35" s="232"/>
      <c r="MBU35" s="233"/>
      <c r="MBV35" s="233"/>
      <c r="MBW35" s="233"/>
      <c r="MBX35" s="233"/>
      <c r="MBY35" s="233"/>
      <c r="MBZ35" s="233"/>
      <c r="MCA35" s="231"/>
      <c r="MCB35" s="231"/>
      <c r="MCC35" s="229"/>
      <c r="MCD35" s="230"/>
      <c r="MCE35" s="231"/>
      <c r="MCF35" s="232"/>
      <c r="MCG35" s="233"/>
      <c r="MCH35" s="233"/>
      <c r="MCI35" s="233"/>
      <c r="MCJ35" s="233"/>
      <c r="MCK35" s="233"/>
      <c r="MCL35" s="233"/>
      <c r="MCM35" s="231"/>
      <c r="MCN35" s="231"/>
      <c r="MCO35" s="229"/>
      <c r="MCP35" s="230"/>
      <c r="MCQ35" s="231"/>
      <c r="MCR35" s="232"/>
      <c r="MCS35" s="233"/>
      <c r="MCT35" s="233"/>
      <c r="MCU35" s="233"/>
      <c r="MCV35" s="233"/>
      <c r="MCW35" s="233"/>
      <c r="MCX35" s="233"/>
      <c r="MCY35" s="231"/>
      <c r="MCZ35" s="231"/>
      <c r="MDA35" s="229"/>
      <c r="MDB35" s="230"/>
      <c r="MDC35" s="231"/>
      <c r="MDD35" s="232"/>
      <c r="MDE35" s="233"/>
      <c r="MDF35" s="233"/>
      <c r="MDG35" s="233"/>
      <c r="MDH35" s="233"/>
      <c r="MDI35" s="233"/>
      <c r="MDJ35" s="233"/>
      <c r="MDK35" s="231"/>
      <c r="MDL35" s="231"/>
      <c r="MDM35" s="229"/>
      <c r="MDN35" s="230"/>
      <c r="MDO35" s="231"/>
      <c r="MDP35" s="232"/>
      <c r="MDQ35" s="233"/>
      <c r="MDR35" s="233"/>
      <c r="MDS35" s="233"/>
      <c r="MDT35" s="233"/>
      <c r="MDU35" s="233"/>
      <c r="MDV35" s="233"/>
      <c r="MDW35" s="231"/>
      <c r="MDX35" s="231"/>
      <c r="MDY35" s="229"/>
      <c r="MDZ35" s="230"/>
      <c r="MEA35" s="231"/>
      <c r="MEB35" s="232"/>
      <c r="MEC35" s="233"/>
      <c r="MED35" s="233"/>
      <c r="MEE35" s="233"/>
      <c r="MEF35" s="233"/>
      <c r="MEG35" s="233"/>
      <c r="MEH35" s="233"/>
      <c r="MEI35" s="231"/>
      <c r="MEJ35" s="231"/>
      <c r="MEK35" s="229"/>
      <c r="MEL35" s="230"/>
      <c r="MEM35" s="231"/>
      <c r="MEN35" s="232"/>
      <c r="MEO35" s="233"/>
      <c r="MEP35" s="233"/>
      <c r="MEQ35" s="233"/>
      <c r="MER35" s="233"/>
      <c r="MES35" s="233"/>
      <c r="MET35" s="233"/>
      <c r="MEU35" s="231"/>
      <c r="MEV35" s="231"/>
      <c r="MEW35" s="229"/>
      <c r="MEX35" s="230"/>
      <c r="MEY35" s="231"/>
      <c r="MEZ35" s="232"/>
      <c r="MFA35" s="233"/>
      <c r="MFB35" s="233"/>
      <c r="MFC35" s="233"/>
      <c r="MFD35" s="233"/>
      <c r="MFE35" s="233"/>
      <c r="MFF35" s="233"/>
      <c r="MFG35" s="231"/>
      <c r="MFH35" s="231"/>
      <c r="MFI35" s="229"/>
      <c r="MFJ35" s="230"/>
      <c r="MFK35" s="231"/>
      <c r="MFL35" s="232"/>
      <c r="MFM35" s="233"/>
      <c r="MFN35" s="233"/>
      <c r="MFO35" s="233"/>
      <c r="MFP35" s="233"/>
      <c r="MFQ35" s="233"/>
      <c r="MFR35" s="233"/>
      <c r="MFS35" s="231"/>
      <c r="MFT35" s="231"/>
      <c r="MFU35" s="229"/>
      <c r="MFV35" s="230"/>
      <c r="MFW35" s="231"/>
      <c r="MFX35" s="232"/>
      <c r="MFY35" s="233"/>
      <c r="MFZ35" s="233"/>
      <c r="MGA35" s="233"/>
      <c r="MGB35" s="233"/>
      <c r="MGC35" s="233"/>
      <c r="MGD35" s="233"/>
      <c r="MGE35" s="231"/>
      <c r="MGF35" s="231"/>
      <c r="MGG35" s="229"/>
      <c r="MGH35" s="230"/>
      <c r="MGI35" s="231"/>
      <c r="MGJ35" s="232"/>
      <c r="MGK35" s="233"/>
      <c r="MGL35" s="233"/>
      <c r="MGM35" s="233"/>
      <c r="MGN35" s="233"/>
      <c r="MGO35" s="233"/>
      <c r="MGP35" s="233"/>
      <c r="MGQ35" s="231"/>
      <c r="MGR35" s="231"/>
      <c r="MGS35" s="229"/>
      <c r="MGT35" s="230"/>
      <c r="MGU35" s="231"/>
      <c r="MGV35" s="232"/>
      <c r="MGW35" s="233"/>
      <c r="MGX35" s="233"/>
      <c r="MGY35" s="233"/>
      <c r="MGZ35" s="233"/>
      <c r="MHA35" s="233"/>
      <c r="MHB35" s="233"/>
      <c r="MHC35" s="231"/>
      <c r="MHD35" s="231"/>
      <c r="MHE35" s="229"/>
      <c r="MHF35" s="230"/>
      <c r="MHG35" s="231"/>
      <c r="MHH35" s="232"/>
      <c r="MHI35" s="233"/>
      <c r="MHJ35" s="233"/>
      <c r="MHK35" s="233"/>
      <c r="MHL35" s="233"/>
      <c r="MHM35" s="233"/>
      <c r="MHN35" s="233"/>
      <c r="MHO35" s="231"/>
      <c r="MHP35" s="231"/>
      <c r="MHQ35" s="229"/>
      <c r="MHR35" s="230"/>
      <c r="MHS35" s="231"/>
      <c r="MHT35" s="232"/>
      <c r="MHU35" s="233"/>
      <c r="MHV35" s="233"/>
      <c r="MHW35" s="233"/>
      <c r="MHX35" s="233"/>
      <c r="MHY35" s="233"/>
      <c r="MHZ35" s="233"/>
      <c r="MIA35" s="231"/>
      <c r="MIB35" s="231"/>
      <c r="MIC35" s="229"/>
      <c r="MID35" s="230"/>
      <c r="MIE35" s="231"/>
      <c r="MIF35" s="232"/>
      <c r="MIG35" s="233"/>
      <c r="MIH35" s="233"/>
      <c r="MII35" s="233"/>
      <c r="MIJ35" s="233"/>
      <c r="MIK35" s="233"/>
      <c r="MIL35" s="233"/>
      <c r="MIM35" s="231"/>
      <c r="MIN35" s="231"/>
      <c r="MIO35" s="229"/>
      <c r="MIP35" s="230"/>
      <c r="MIQ35" s="231"/>
      <c r="MIR35" s="232"/>
      <c r="MIS35" s="233"/>
      <c r="MIT35" s="233"/>
      <c r="MIU35" s="233"/>
      <c r="MIV35" s="233"/>
      <c r="MIW35" s="233"/>
      <c r="MIX35" s="233"/>
      <c r="MIY35" s="231"/>
      <c r="MIZ35" s="231"/>
      <c r="MJA35" s="229"/>
      <c r="MJB35" s="230"/>
      <c r="MJC35" s="231"/>
      <c r="MJD35" s="232"/>
      <c r="MJE35" s="233"/>
      <c r="MJF35" s="233"/>
      <c r="MJG35" s="233"/>
      <c r="MJH35" s="233"/>
      <c r="MJI35" s="233"/>
      <c r="MJJ35" s="233"/>
      <c r="MJK35" s="231"/>
      <c r="MJL35" s="231"/>
      <c r="MJM35" s="229"/>
      <c r="MJN35" s="230"/>
      <c r="MJO35" s="231"/>
      <c r="MJP35" s="232"/>
      <c r="MJQ35" s="233"/>
      <c r="MJR35" s="233"/>
      <c r="MJS35" s="233"/>
      <c r="MJT35" s="233"/>
      <c r="MJU35" s="233"/>
      <c r="MJV35" s="233"/>
      <c r="MJW35" s="231"/>
      <c r="MJX35" s="231"/>
      <c r="MJY35" s="229"/>
      <c r="MJZ35" s="230"/>
      <c r="MKA35" s="231"/>
      <c r="MKB35" s="232"/>
      <c r="MKC35" s="233"/>
      <c r="MKD35" s="233"/>
      <c r="MKE35" s="233"/>
      <c r="MKF35" s="233"/>
      <c r="MKG35" s="233"/>
      <c r="MKH35" s="233"/>
      <c r="MKI35" s="231"/>
      <c r="MKJ35" s="231"/>
      <c r="MKK35" s="229"/>
      <c r="MKL35" s="230"/>
      <c r="MKM35" s="231"/>
      <c r="MKN35" s="232"/>
      <c r="MKO35" s="233"/>
      <c r="MKP35" s="233"/>
      <c r="MKQ35" s="233"/>
      <c r="MKR35" s="233"/>
      <c r="MKS35" s="233"/>
      <c r="MKT35" s="233"/>
      <c r="MKU35" s="231"/>
      <c r="MKV35" s="231"/>
      <c r="MKW35" s="229"/>
      <c r="MKX35" s="230"/>
      <c r="MKY35" s="231"/>
      <c r="MKZ35" s="232"/>
      <c r="MLA35" s="233"/>
      <c r="MLB35" s="233"/>
      <c r="MLC35" s="233"/>
      <c r="MLD35" s="233"/>
      <c r="MLE35" s="233"/>
      <c r="MLF35" s="233"/>
      <c r="MLG35" s="231"/>
      <c r="MLH35" s="231"/>
      <c r="MLI35" s="229"/>
      <c r="MLJ35" s="230"/>
      <c r="MLK35" s="231"/>
      <c r="MLL35" s="232"/>
      <c r="MLM35" s="233"/>
      <c r="MLN35" s="233"/>
      <c r="MLO35" s="233"/>
      <c r="MLP35" s="233"/>
      <c r="MLQ35" s="233"/>
      <c r="MLR35" s="233"/>
      <c r="MLS35" s="231"/>
      <c r="MLT35" s="231"/>
      <c r="MLU35" s="229"/>
      <c r="MLV35" s="230"/>
      <c r="MLW35" s="231"/>
      <c r="MLX35" s="232"/>
      <c r="MLY35" s="233"/>
      <c r="MLZ35" s="233"/>
      <c r="MMA35" s="233"/>
      <c r="MMB35" s="233"/>
      <c r="MMC35" s="233"/>
      <c r="MMD35" s="233"/>
      <c r="MME35" s="231"/>
      <c r="MMF35" s="231"/>
      <c r="MMG35" s="229"/>
      <c r="MMH35" s="230"/>
      <c r="MMI35" s="231"/>
      <c r="MMJ35" s="232"/>
      <c r="MMK35" s="233"/>
      <c r="MML35" s="233"/>
      <c r="MMM35" s="233"/>
      <c r="MMN35" s="233"/>
      <c r="MMO35" s="233"/>
      <c r="MMP35" s="233"/>
      <c r="MMQ35" s="231"/>
      <c r="MMR35" s="231"/>
      <c r="MMS35" s="229"/>
      <c r="MMT35" s="230"/>
      <c r="MMU35" s="231"/>
      <c r="MMV35" s="232"/>
      <c r="MMW35" s="233"/>
      <c r="MMX35" s="233"/>
      <c r="MMY35" s="233"/>
      <c r="MMZ35" s="233"/>
      <c r="MNA35" s="233"/>
      <c r="MNB35" s="233"/>
      <c r="MNC35" s="231"/>
      <c r="MND35" s="231"/>
      <c r="MNE35" s="229"/>
      <c r="MNF35" s="230"/>
      <c r="MNG35" s="231"/>
      <c r="MNH35" s="232"/>
      <c r="MNI35" s="233"/>
      <c r="MNJ35" s="233"/>
      <c r="MNK35" s="233"/>
      <c r="MNL35" s="233"/>
      <c r="MNM35" s="233"/>
      <c r="MNN35" s="233"/>
      <c r="MNO35" s="231"/>
      <c r="MNP35" s="231"/>
      <c r="MNQ35" s="229"/>
      <c r="MNR35" s="230"/>
      <c r="MNS35" s="231"/>
      <c r="MNT35" s="232"/>
      <c r="MNU35" s="233"/>
      <c r="MNV35" s="233"/>
      <c r="MNW35" s="233"/>
      <c r="MNX35" s="233"/>
      <c r="MNY35" s="233"/>
      <c r="MNZ35" s="233"/>
      <c r="MOA35" s="231"/>
      <c r="MOB35" s="231"/>
      <c r="MOC35" s="229"/>
      <c r="MOD35" s="230"/>
      <c r="MOE35" s="231"/>
      <c r="MOF35" s="232"/>
      <c r="MOG35" s="233"/>
      <c r="MOH35" s="233"/>
      <c r="MOI35" s="233"/>
      <c r="MOJ35" s="233"/>
      <c r="MOK35" s="233"/>
      <c r="MOL35" s="233"/>
      <c r="MOM35" s="231"/>
      <c r="MON35" s="231"/>
      <c r="MOO35" s="229"/>
      <c r="MOP35" s="230"/>
      <c r="MOQ35" s="231"/>
      <c r="MOR35" s="232"/>
      <c r="MOS35" s="233"/>
      <c r="MOT35" s="233"/>
      <c r="MOU35" s="233"/>
      <c r="MOV35" s="233"/>
      <c r="MOW35" s="233"/>
      <c r="MOX35" s="233"/>
      <c r="MOY35" s="231"/>
      <c r="MOZ35" s="231"/>
      <c r="MPA35" s="229"/>
      <c r="MPB35" s="230"/>
      <c r="MPC35" s="231"/>
      <c r="MPD35" s="232"/>
      <c r="MPE35" s="233"/>
      <c r="MPF35" s="233"/>
      <c r="MPG35" s="233"/>
      <c r="MPH35" s="233"/>
      <c r="MPI35" s="233"/>
      <c r="MPJ35" s="233"/>
      <c r="MPK35" s="231"/>
      <c r="MPL35" s="231"/>
      <c r="MPM35" s="229"/>
      <c r="MPN35" s="230"/>
      <c r="MPO35" s="231"/>
      <c r="MPP35" s="232"/>
      <c r="MPQ35" s="233"/>
      <c r="MPR35" s="233"/>
      <c r="MPS35" s="233"/>
      <c r="MPT35" s="233"/>
      <c r="MPU35" s="233"/>
      <c r="MPV35" s="233"/>
      <c r="MPW35" s="231"/>
      <c r="MPX35" s="231"/>
      <c r="MPY35" s="229"/>
      <c r="MPZ35" s="230"/>
      <c r="MQA35" s="231"/>
      <c r="MQB35" s="232"/>
      <c r="MQC35" s="233"/>
      <c r="MQD35" s="233"/>
      <c r="MQE35" s="233"/>
      <c r="MQF35" s="233"/>
      <c r="MQG35" s="233"/>
      <c r="MQH35" s="233"/>
      <c r="MQI35" s="231"/>
      <c r="MQJ35" s="231"/>
      <c r="MQK35" s="229"/>
      <c r="MQL35" s="230"/>
      <c r="MQM35" s="231"/>
      <c r="MQN35" s="232"/>
      <c r="MQO35" s="233"/>
      <c r="MQP35" s="233"/>
      <c r="MQQ35" s="233"/>
      <c r="MQR35" s="233"/>
      <c r="MQS35" s="233"/>
      <c r="MQT35" s="233"/>
      <c r="MQU35" s="231"/>
      <c r="MQV35" s="231"/>
      <c r="MQW35" s="229"/>
      <c r="MQX35" s="230"/>
      <c r="MQY35" s="231"/>
      <c r="MQZ35" s="232"/>
      <c r="MRA35" s="233"/>
      <c r="MRB35" s="233"/>
      <c r="MRC35" s="233"/>
      <c r="MRD35" s="233"/>
      <c r="MRE35" s="233"/>
      <c r="MRF35" s="233"/>
      <c r="MRG35" s="231"/>
      <c r="MRH35" s="231"/>
      <c r="MRI35" s="229"/>
      <c r="MRJ35" s="230"/>
      <c r="MRK35" s="231"/>
      <c r="MRL35" s="232"/>
      <c r="MRM35" s="233"/>
      <c r="MRN35" s="233"/>
      <c r="MRO35" s="233"/>
      <c r="MRP35" s="233"/>
      <c r="MRQ35" s="233"/>
      <c r="MRR35" s="233"/>
      <c r="MRS35" s="231"/>
      <c r="MRT35" s="231"/>
      <c r="MRU35" s="229"/>
      <c r="MRV35" s="230"/>
      <c r="MRW35" s="231"/>
      <c r="MRX35" s="232"/>
      <c r="MRY35" s="233"/>
      <c r="MRZ35" s="233"/>
      <c r="MSA35" s="233"/>
      <c r="MSB35" s="233"/>
      <c r="MSC35" s="233"/>
      <c r="MSD35" s="233"/>
      <c r="MSE35" s="231"/>
      <c r="MSF35" s="231"/>
      <c r="MSG35" s="229"/>
      <c r="MSH35" s="230"/>
      <c r="MSI35" s="231"/>
      <c r="MSJ35" s="232"/>
      <c r="MSK35" s="233"/>
      <c r="MSL35" s="233"/>
      <c r="MSM35" s="233"/>
      <c r="MSN35" s="233"/>
      <c r="MSO35" s="233"/>
      <c r="MSP35" s="233"/>
      <c r="MSQ35" s="231"/>
      <c r="MSR35" s="231"/>
      <c r="MSS35" s="229"/>
      <c r="MST35" s="230"/>
      <c r="MSU35" s="231"/>
      <c r="MSV35" s="232"/>
      <c r="MSW35" s="233"/>
      <c r="MSX35" s="233"/>
      <c r="MSY35" s="233"/>
      <c r="MSZ35" s="233"/>
      <c r="MTA35" s="233"/>
      <c r="MTB35" s="233"/>
      <c r="MTC35" s="231"/>
      <c r="MTD35" s="231"/>
      <c r="MTE35" s="229"/>
      <c r="MTF35" s="230"/>
      <c r="MTG35" s="231"/>
      <c r="MTH35" s="232"/>
      <c r="MTI35" s="233"/>
      <c r="MTJ35" s="233"/>
      <c r="MTK35" s="233"/>
      <c r="MTL35" s="233"/>
      <c r="MTM35" s="233"/>
      <c r="MTN35" s="233"/>
      <c r="MTO35" s="231"/>
      <c r="MTP35" s="231"/>
      <c r="MTQ35" s="229"/>
      <c r="MTR35" s="230"/>
      <c r="MTS35" s="231"/>
      <c r="MTT35" s="232"/>
      <c r="MTU35" s="233"/>
      <c r="MTV35" s="233"/>
      <c r="MTW35" s="233"/>
      <c r="MTX35" s="233"/>
      <c r="MTY35" s="233"/>
      <c r="MTZ35" s="233"/>
      <c r="MUA35" s="231"/>
      <c r="MUB35" s="231"/>
      <c r="MUC35" s="229"/>
      <c r="MUD35" s="230"/>
      <c r="MUE35" s="231"/>
      <c r="MUF35" s="232"/>
      <c r="MUG35" s="233"/>
      <c r="MUH35" s="233"/>
      <c r="MUI35" s="233"/>
      <c r="MUJ35" s="233"/>
      <c r="MUK35" s="233"/>
      <c r="MUL35" s="233"/>
      <c r="MUM35" s="231"/>
      <c r="MUN35" s="231"/>
      <c r="MUO35" s="229"/>
      <c r="MUP35" s="230"/>
      <c r="MUQ35" s="231"/>
      <c r="MUR35" s="232"/>
      <c r="MUS35" s="233"/>
      <c r="MUT35" s="233"/>
      <c r="MUU35" s="233"/>
      <c r="MUV35" s="233"/>
      <c r="MUW35" s="233"/>
      <c r="MUX35" s="233"/>
      <c r="MUY35" s="231"/>
      <c r="MUZ35" s="231"/>
      <c r="MVA35" s="229"/>
      <c r="MVB35" s="230"/>
      <c r="MVC35" s="231"/>
      <c r="MVD35" s="232"/>
      <c r="MVE35" s="233"/>
      <c r="MVF35" s="233"/>
      <c r="MVG35" s="233"/>
      <c r="MVH35" s="233"/>
      <c r="MVI35" s="233"/>
      <c r="MVJ35" s="233"/>
      <c r="MVK35" s="231"/>
      <c r="MVL35" s="231"/>
      <c r="MVM35" s="229"/>
      <c r="MVN35" s="230"/>
      <c r="MVO35" s="231"/>
      <c r="MVP35" s="232"/>
      <c r="MVQ35" s="233"/>
      <c r="MVR35" s="233"/>
      <c r="MVS35" s="233"/>
      <c r="MVT35" s="233"/>
      <c r="MVU35" s="233"/>
      <c r="MVV35" s="233"/>
      <c r="MVW35" s="231"/>
      <c r="MVX35" s="231"/>
      <c r="MVY35" s="229"/>
      <c r="MVZ35" s="230"/>
      <c r="MWA35" s="231"/>
      <c r="MWB35" s="232"/>
      <c r="MWC35" s="233"/>
      <c r="MWD35" s="233"/>
      <c r="MWE35" s="233"/>
      <c r="MWF35" s="233"/>
      <c r="MWG35" s="233"/>
      <c r="MWH35" s="233"/>
      <c r="MWI35" s="231"/>
      <c r="MWJ35" s="231"/>
      <c r="MWK35" s="229"/>
      <c r="MWL35" s="230"/>
      <c r="MWM35" s="231"/>
      <c r="MWN35" s="232"/>
      <c r="MWO35" s="233"/>
      <c r="MWP35" s="233"/>
      <c r="MWQ35" s="233"/>
      <c r="MWR35" s="233"/>
      <c r="MWS35" s="233"/>
      <c r="MWT35" s="233"/>
      <c r="MWU35" s="231"/>
      <c r="MWV35" s="231"/>
      <c r="MWW35" s="229"/>
      <c r="MWX35" s="230"/>
      <c r="MWY35" s="231"/>
      <c r="MWZ35" s="232"/>
      <c r="MXA35" s="233"/>
      <c r="MXB35" s="233"/>
      <c r="MXC35" s="233"/>
      <c r="MXD35" s="233"/>
      <c r="MXE35" s="233"/>
      <c r="MXF35" s="233"/>
      <c r="MXG35" s="231"/>
      <c r="MXH35" s="231"/>
      <c r="MXI35" s="229"/>
      <c r="MXJ35" s="230"/>
      <c r="MXK35" s="231"/>
      <c r="MXL35" s="232"/>
      <c r="MXM35" s="233"/>
      <c r="MXN35" s="233"/>
      <c r="MXO35" s="233"/>
      <c r="MXP35" s="233"/>
      <c r="MXQ35" s="233"/>
      <c r="MXR35" s="233"/>
      <c r="MXS35" s="231"/>
      <c r="MXT35" s="231"/>
      <c r="MXU35" s="229"/>
      <c r="MXV35" s="230"/>
      <c r="MXW35" s="231"/>
      <c r="MXX35" s="232"/>
      <c r="MXY35" s="233"/>
      <c r="MXZ35" s="233"/>
      <c r="MYA35" s="233"/>
      <c r="MYB35" s="233"/>
      <c r="MYC35" s="233"/>
      <c r="MYD35" s="233"/>
      <c r="MYE35" s="231"/>
      <c r="MYF35" s="231"/>
      <c r="MYG35" s="229"/>
      <c r="MYH35" s="230"/>
      <c r="MYI35" s="231"/>
      <c r="MYJ35" s="232"/>
      <c r="MYK35" s="233"/>
      <c r="MYL35" s="233"/>
      <c r="MYM35" s="233"/>
      <c r="MYN35" s="233"/>
      <c r="MYO35" s="233"/>
      <c r="MYP35" s="233"/>
      <c r="MYQ35" s="231"/>
      <c r="MYR35" s="231"/>
      <c r="MYS35" s="229"/>
      <c r="MYT35" s="230"/>
      <c r="MYU35" s="231"/>
      <c r="MYV35" s="232"/>
      <c r="MYW35" s="233"/>
      <c r="MYX35" s="233"/>
      <c r="MYY35" s="233"/>
      <c r="MYZ35" s="233"/>
      <c r="MZA35" s="233"/>
      <c r="MZB35" s="233"/>
      <c r="MZC35" s="231"/>
      <c r="MZD35" s="231"/>
      <c r="MZE35" s="229"/>
      <c r="MZF35" s="230"/>
      <c r="MZG35" s="231"/>
      <c r="MZH35" s="232"/>
      <c r="MZI35" s="233"/>
      <c r="MZJ35" s="233"/>
      <c r="MZK35" s="233"/>
      <c r="MZL35" s="233"/>
      <c r="MZM35" s="233"/>
      <c r="MZN35" s="233"/>
      <c r="MZO35" s="231"/>
      <c r="MZP35" s="231"/>
      <c r="MZQ35" s="229"/>
      <c r="MZR35" s="230"/>
      <c r="MZS35" s="231"/>
      <c r="MZT35" s="232"/>
      <c r="MZU35" s="233"/>
      <c r="MZV35" s="233"/>
      <c r="MZW35" s="233"/>
      <c r="MZX35" s="233"/>
      <c r="MZY35" s="233"/>
      <c r="MZZ35" s="233"/>
      <c r="NAA35" s="231"/>
      <c r="NAB35" s="231"/>
      <c r="NAC35" s="229"/>
      <c r="NAD35" s="230"/>
      <c r="NAE35" s="231"/>
      <c r="NAF35" s="232"/>
      <c r="NAG35" s="233"/>
      <c r="NAH35" s="233"/>
      <c r="NAI35" s="233"/>
      <c r="NAJ35" s="233"/>
      <c r="NAK35" s="233"/>
      <c r="NAL35" s="233"/>
      <c r="NAM35" s="231"/>
      <c r="NAN35" s="231"/>
      <c r="NAO35" s="229"/>
      <c r="NAP35" s="230"/>
      <c r="NAQ35" s="231"/>
      <c r="NAR35" s="232"/>
      <c r="NAS35" s="233"/>
      <c r="NAT35" s="233"/>
      <c r="NAU35" s="233"/>
      <c r="NAV35" s="233"/>
      <c r="NAW35" s="233"/>
      <c r="NAX35" s="233"/>
      <c r="NAY35" s="231"/>
      <c r="NAZ35" s="231"/>
      <c r="NBA35" s="229"/>
      <c r="NBB35" s="230"/>
      <c r="NBC35" s="231"/>
      <c r="NBD35" s="232"/>
      <c r="NBE35" s="233"/>
      <c r="NBF35" s="233"/>
      <c r="NBG35" s="233"/>
      <c r="NBH35" s="233"/>
      <c r="NBI35" s="233"/>
      <c r="NBJ35" s="233"/>
      <c r="NBK35" s="231"/>
      <c r="NBL35" s="231"/>
      <c r="NBM35" s="229"/>
      <c r="NBN35" s="230"/>
      <c r="NBO35" s="231"/>
      <c r="NBP35" s="232"/>
      <c r="NBQ35" s="233"/>
      <c r="NBR35" s="233"/>
      <c r="NBS35" s="233"/>
      <c r="NBT35" s="233"/>
      <c r="NBU35" s="233"/>
      <c r="NBV35" s="233"/>
      <c r="NBW35" s="231"/>
      <c r="NBX35" s="231"/>
      <c r="NBY35" s="229"/>
      <c r="NBZ35" s="230"/>
      <c r="NCA35" s="231"/>
      <c r="NCB35" s="232"/>
      <c r="NCC35" s="233"/>
      <c r="NCD35" s="233"/>
      <c r="NCE35" s="233"/>
      <c r="NCF35" s="233"/>
      <c r="NCG35" s="233"/>
      <c r="NCH35" s="233"/>
      <c r="NCI35" s="231"/>
      <c r="NCJ35" s="231"/>
      <c r="NCK35" s="229"/>
      <c r="NCL35" s="230"/>
      <c r="NCM35" s="231"/>
      <c r="NCN35" s="232"/>
      <c r="NCO35" s="233"/>
      <c r="NCP35" s="233"/>
      <c r="NCQ35" s="233"/>
      <c r="NCR35" s="233"/>
      <c r="NCS35" s="233"/>
      <c r="NCT35" s="233"/>
      <c r="NCU35" s="231"/>
      <c r="NCV35" s="231"/>
      <c r="NCW35" s="229"/>
      <c r="NCX35" s="230"/>
      <c r="NCY35" s="231"/>
      <c r="NCZ35" s="232"/>
      <c r="NDA35" s="233"/>
      <c r="NDB35" s="233"/>
      <c r="NDC35" s="233"/>
      <c r="NDD35" s="233"/>
      <c r="NDE35" s="233"/>
      <c r="NDF35" s="233"/>
      <c r="NDG35" s="231"/>
      <c r="NDH35" s="231"/>
      <c r="NDI35" s="229"/>
      <c r="NDJ35" s="230"/>
      <c r="NDK35" s="231"/>
      <c r="NDL35" s="232"/>
      <c r="NDM35" s="233"/>
      <c r="NDN35" s="233"/>
      <c r="NDO35" s="233"/>
      <c r="NDP35" s="233"/>
      <c r="NDQ35" s="233"/>
      <c r="NDR35" s="233"/>
      <c r="NDS35" s="231"/>
      <c r="NDT35" s="231"/>
      <c r="NDU35" s="229"/>
      <c r="NDV35" s="230"/>
      <c r="NDW35" s="231"/>
      <c r="NDX35" s="232"/>
      <c r="NDY35" s="233"/>
      <c r="NDZ35" s="233"/>
      <c r="NEA35" s="233"/>
      <c r="NEB35" s="233"/>
      <c r="NEC35" s="233"/>
      <c r="NED35" s="233"/>
      <c r="NEE35" s="231"/>
      <c r="NEF35" s="231"/>
      <c r="NEG35" s="229"/>
      <c r="NEH35" s="230"/>
      <c r="NEI35" s="231"/>
      <c r="NEJ35" s="232"/>
      <c r="NEK35" s="233"/>
      <c r="NEL35" s="233"/>
      <c r="NEM35" s="233"/>
      <c r="NEN35" s="233"/>
      <c r="NEO35" s="233"/>
      <c r="NEP35" s="233"/>
      <c r="NEQ35" s="231"/>
      <c r="NER35" s="231"/>
      <c r="NES35" s="229"/>
      <c r="NET35" s="230"/>
      <c r="NEU35" s="231"/>
      <c r="NEV35" s="232"/>
      <c r="NEW35" s="233"/>
      <c r="NEX35" s="233"/>
      <c r="NEY35" s="233"/>
      <c r="NEZ35" s="233"/>
      <c r="NFA35" s="233"/>
      <c r="NFB35" s="233"/>
      <c r="NFC35" s="231"/>
      <c r="NFD35" s="231"/>
      <c r="NFE35" s="229"/>
      <c r="NFF35" s="230"/>
      <c r="NFG35" s="231"/>
      <c r="NFH35" s="232"/>
      <c r="NFI35" s="233"/>
      <c r="NFJ35" s="233"/>
      <c r="NFK35" s="233"/>
      <c r="NFL35" s="233"/>
      <c r="NFM35" s="233"/>
      <c r="NFN35" s="233"/>
      <c r="NFO35" s="231"/>
      <c r="NFP35" s="231"/>
      <c r="NFQ35" s="229"/>
      <c r="NFR35" s="230"/>
      <c r="NFS35" s="231"/>
      <c r="NFT35" s="232"/>
      <c r="NFU35" s="233"/>
      <c r="NFV35" s="233"/>
      <c r="NFW35" s="233"/>
      <c r="NFX35" s="233"/>
      <c r="NFY35" s="233"/>
      <c r="NFZ35" s="233"/>
      <c r="NGA35" s="231"/>
      <c r="NGB35" s="231"/>
      <c r="NGC35" s="229"/>
      <c r="NGD35" s="230"/>
      <c r="NGE35" s="231"/>
      <c r="NGF35" s="232"/>
      <c r="NGG35" s="233"/>
      <c r="NGH35" s="233"/>
      <c r="NGI35" s="233"/>
      <c r="NGJ35" s="233"/>
      <c r="NGK35" s="233"/>
      <c r="NGL35" s="233"/>
      <c r="NGM35" s="231"/>
      <c r="NGN35" s="231"/>
      <c r="NGO35" s="229"/>
      <c r="NGP35" s="230"/>
      <c r="NGQ35" s="231"/>
      <c r="NGR35" s="232"/>
      <c r="NGS35" s="233"/>
      <c r="NGT35" s="233"/>
      <c r="NGU35" s="233"/>
      <c r="NGV35" s="233"/>
      <c r="NGW35" s="233"/>
      <c r="NGX35" s="233"/>
      <c r="NGY35" s="231"/>
      <c r="NGZ35" s="231"/>
      <c r="NHA35" s="229"/>
      <c r="NHB35" s="230"/>
      <c r="NHC35" s="231"/>
      <c r="NHD35" s="232"/>
      <c r="NHE35" s="233"/>
      <c r="NHF35" s="233"/>
      <c r="NHG35" s="233"/>
      <c r="NHH35" s="233"/>
      <c r="NHI35" s="233"/>
      <c r="NHJ35" s="233"/>
      <c r="NHK35" s="231"/>
      <c r="NHL35" s="231"/>
      <c r="NHM35" s="229"/>
      <c r="NHN35" s="230"/>
      <c r="NHO35" s="231"/>
      <c r="NHP35" s="232"/>
      <c r="NHQ35" s="233"/>
      <c r="NHR35" s="233"/>
      <c r="NHS35" s="233"/>
      <c r="NHT35" s="233"/>
      <c r="NHU35" s="233"/>
      <c r="NHV35" s="233"/>
      <c r="NHW35" s="231"/>
      <c r="NHX35" s="231"/>
      <c r="NHY35" s="229"/>
      <c r="NHZ35" s="230"/>
      <c r="NIA35" s="231"/>
      <c r="NIB35" s="232"/>
      <c r="NIC35" s="233"/>
      <c r="NID35" s="233"/>
      <c r="NIE35" s="233"/>
      <c r="NIF35" s="233"/>
      <c r="NIG35" s="233"/>
      <c r="NIH35" s="233"/>
      <c r="NII35" s="231"/>
      <c r="NIJ35" s="231"/>
      <c r="NIK35" s="229"/>
      <c r="NIL35" s="230"/>
      <c r="NIM35" s="231"/>
      <c r="NIN35" s="232"/>
      <c r="NIO35" s="233"/>
      <c r="NIP35" s="233"/>
      <c r="NIQ35" s="233"/>
      <c r="NIR35" s="233"/>
      <c r="NIS35" s="233"/>
      <c r="NIT35" s="233"/>
      <c r="NIU35" s="231"/>
      <c r="NIV35" s="231"/>
      <c r="NIW35" s="229"/>
      <c r="NIX35" s="230"/>
      <c r="NIY35" s="231"/>
      <c r="NIZ35" s="232"/>
      <c r="NJA35" s="233"/>
      <c r="NJB35" s="233"/>
      <c r="NJC35" s="233"/>
      <c r="NJD35" s="233"/>
      <c r="NJE35" s="233"/>
      <c r="NJF35" s="233"/>
      <c r="NJG35" s="231"/>
      <c r="NJH35" s="231"/>
      <c r="NJI35" s="229"/>
      <c r="NJJ35" s="230"/>
      <c r="NJK35" s="231"/>
      <c r="NJL35" s="232"/>
      <c r="NJM35" s="233"/>
      <c r="NJN35" s="233"/>
      <c r="NJO35" s="233"/>
      <c r="NJP35" s="233"/>
      <c r="NJQ35" s="233"/>
      <c r="NJR35" s="233"/>
      <c r="NJS35" s="231"/>
      <c r="NJT35" s="231"/>
      <c r="NJU35" s="229"/>
      <c r="NJV35" s="230"/>
      <c r="NJW35" s="231"/>
      <c r="NJX35" s="232"/>
      <c r="NJY35" s="233"/>
      <c r="NJZ35" s="233"/>
      <c r="NKA35" s="233"/>
      <c r="NKB35" s="233"/>
      <c r="NKC35" s="233"/>
      <c r="NKD35" s="233"/>
      <c r="NKE35" s="231"/>
      <c r="NKF35" s="231"/>
      <c r="NKG35" s="229"/>
      <c r="NKH35" s="230"/>
      <c r="NKI35" s="231"/>
      <c r="NKJ35" s="232"/>
      <c r="NKK35" s="233"/>
      <c r="NKL35" s="233"/>
      <c r="NKM35" s="233"/>
      <c r="NKN35" s="233"/>
      <c r="NKO35" s="233"/>
      <c r="NKP35" s="233"/>
      <c r="NKQ35" s="231"/>
      <c r="NKR35" s="231"/>
      <c r="NKS35" s="229"/>
      <c r="NKT35" s="230"/>
      <c r="NKU35" s="231"/>
      <c r="NKV35" s="232"/>
      <c r="NKW35" s="233"/>
      <c r="NKX35" s="233"/>
      <c r="NKY35" s="233"/>
      <c r="NKZ35" s="233"/>
      <c r="NLA35" s="233"/>
      <c r="NLB35" s="233"/>
      <c r="NLC35" s="231"/>
      <c r="NLD35" s="231"/>
      <c r="NLE35" s="229"/>
      <c r="NLF35" s="230"/>
      <c r="NLG35" s="231"/>
      <c r="NLH35" s="232"/>
      <c r="NLI35" s="233"/>
      <c r="NLJ35" s="233"/>
      <c r="NLK35" s="233"/>
      <c r="NLL35" s="233"/>
      <c r="NLM35" s="233"/>
      <c r="NLN35" s="233"/>
      <c r="NLO35" s="231"/>
      <c r="NLP35" s="231"/>
      <c r="NLQ35" s="229"/>
      <c r="NLR35" s="230"/>
      <c r="NLS35" s="231"/>
      <c r="NLT35" s="232"/>
      <c r="NLU35" s="233"/>
      <c r="NLV35" s="233"/>
      <c r="NLW35" s="233"/>
      <c r="NLX35" s="233"/>
      <c r="NLY35" s="233"/>
      <c r="NLZ35" s="233"/>
      <c r="NMA35" s="231"/>
      <c r="NMB35" s="231"/>
      <c r="NMC35" s="229"/>
      <c r="NMD35" s="230"/>
      <c r="NME35" s="231"/>
      <c r="NMF35" s="232"/>
      <c r="NMG35" s="233"/>
      <c r="NMH35" s="233"/>
      <c r="NMI35" s="233"/>
      <c r="NMJ35" s="233"/>
      <c r="NMK35" s="233"/>
      <c r="NML35" s="233"/>
      <c r="NMM35" s="231"/>
      <c r="NMN35" s="231"/>
      <c r="NMO35" s="229"/>
      <c r="NMP35" s="230"/>
      <c r="NMQ35" s="231"/>
      <c r="NMR35" s="232"/>
      <c r="NMS35" s="233"/>
      <c r="NMT35" s="233"/>
      <c r="NMU35" s="233"/>
      <c r="NMV35" s="233"/>
      <c r="NMW35" s="233"/>
      <c r="NMX35" s="233"/>
      <c r="NMY35" s="231"/>
      <c r="NMZ35" s="231"/>
      <c r="NNA35" s="229"/>
      <c r="NNB35" s="230"/>
      <c r="NNC35" s="231"/>
      <c r="NND35" s="232"/>
      <c r="NNE35" s="233"/>
      <c r="NNF35" s="233"/>
      <c r="NNG35" s="233"/>
      <c r="NNH35" s="233"/>
      <c r="NNI35" s="233"/>
      <c r="NNJ35" s="233"/>
      <c r="NNK35" s="231"/>
      <c r="NNL35" s="231"/>
      <c r="NNM35" s="229"/>
      <c r="NNN35" s="230"/>
      <c r="NNO35" s="231"/>
      <c r="NNP35" s="232"/>
      <c r="NNQ35" s="233"/>
      <c r="NNR35" s="233"/>
      <c r="NNS35" s="233"/>
      <c r="NNT35" s="233"/>
      <c r="NNU35" s="233"/>
      <c r="NNV35" s="233"/>
      <c r="NNW35" s="231"/>
      <c r="NNX35" s="231"/>
      <c r="NNY35" s="229"/>
      <c r="NNZ35" s="230"/>
      <c r="NOA35" s="231"/>
      <c r="NOB35" s="232"/>
      <c r="NOC35" s="233"/>
      <c r="NOD35" s="233"/>
      <c r="NOE35" s="233"/>
      <c r="NOF35" s="233"/>
      <c r="NOG35" s="233"/>
      <c r="NOH35" s="233"/>
      <c r="NOI35" s="231"/>
      <c r="NOJ35" s="231"/>
      <c r="NOK35" s="229"/>
      <c r="NOL35" s="230"/>
      <c r="NOM35" s="231"/>
      <c r="NON35" s="232"/>
      <c r="NOO35" s="233"/>
      <c r="NOP35" s="233"/>
      <c r="NOQ35" s="233"/>
      <c r="NOR35" s="233"/>
      <c r="NOS35" s="233"/>
      <c r="NOT35" s="233"/>
      <c r="NOU35" s="231"/>
      <c r="NOV35" s="231"/>
      <c r="NOW35" s="229"/>
      <c r="NOX35" s="230"/>
      <c r="NOY35" s="231"/>
      <c r="NOZ35" s="232"/>
      <c r="NPA35" s="233"/>
      <c r="NPB35" s="233"/>
      <c r="NPC35" s="233"/>
      <c r="NPD35" s="233"/>
      <c r="NPE35" s="233"/>
      <c r="NPF35" s="233"/>
      <c r="NPG35" s="231"/>
      <c r="NPH35" s="231"/>
      <c r="NPI35" s="229"/>
      <c r="NPJ35" s="230"/>
      <c r="NPK35" s="231"/>
      <c r="NPL35" s="232"/>
      <c r="NPM35" s="233"/>
      <c r="NPN35" s="233"/>
      <c r="NPO35" s="233"/>
      <c r="NPP35" s="233"/>
      <c r="NPQ35" s="233"/>
      <c r="NPR35" s="233"/>
      <c r="NPS35" s="231"/>
      <c r="NPT35" s="231"/>
      <c r="NPU35" s="229"/>
      <c r="NPV35" s="230"/>
      <c r="NPW35" s="231"/>
      <c r="NPX35" s="232"/>
      <c r="NPY35" s="233"/>
      <c r="NPZ35" s="233"/>
      <c r="NQA35" s="233"/>
      <c r="NQB35" s="233"/>
      <c r="NQC35" s="233"/>
      <c r="NQD35" s="233"/>
      <c r="NQE35" s="231"/>
      <c r="NQF35" s="231"/>
      <c r="NQG35" s="229"/>
      <c r="NQH35" s="230"/>
      <c r="NQI35" s="231"/>
      <c r="NQJ35" s="232"/>
      <c r="NQK35" s="233"/>
      <c r="NQL35" s="233"/>
      <c r="NQM35" s="233"/>
      <c r="NQN35" s="233"/>
      <c r="NQO35" s="233"/>
      <c r="NQP35" s="233"/>
      <c r="NQQ35" s="231"/>
      <c r="NQR35" s="231"/>
      <c r="NQS35" s="229"/>
      <c r="NQT35" s="230"/>
      <c r="NQU35" s="231"/>
      <c r="NQV35" s="232"/>
      <c r="NQW35" s="233"/>
      <c r="NQX35" s="233"/>
      <c r="NQY35" s="233"/>
      <c r="NQZ35" s="233"/>
      <c r="NRA35" s="233"/>
      <c r="NRB35" s="233"/>
      <c r="NRC35" s="231"/>
      <c r="NRD35" s="231"/>
      <c r="NRE35" s="229"/>
      <c r="NRF35" s="230"/>
      <c r="NRG35" s="231"/>
      <c r="NRH35" s="232"/>
      <c r="NRI35" s="233"/>
      <c r="NRJ35" s="233"/>
      <c r="NRK35" s="233"/>
      <c r="NRL35" s="233"/>
      <c r="NRM35" s="233"/>
      <c r="NRN35" s="233"/>
      <c r="NRO35" s="231"/>
      <c r="NRP35" s="231"/>
      <c r="NRQ35" s="229"/>
      <c r="NRR35" s="230"/>
      <c r="NRS35" s="231"/>
      <c r="NRT35" s="232"/>
      <c r="NRU35" s="233"/>
      <c r="NRV35" s="233"/>
      <c r="NRW35" s="233"/>
      <c r="NRX35" s="233"/>
      <c r="NRY35" s="233"/>
      <c r="NRZ35" s="233"/>
      <c r="NSA35" s="231"/>
      <c r="NSB35" s="231"/>
      <c r="NSC35" s="229"/>
      <c r="NSD35" s="230"/>
      <c r="NSE35" s="231"/>
      <c r="NSF35" s="232"/>
      <c r="NSG35" s="233"/>
      <c r="NSH35" s="233"/>
      <c r="NSI35" s="233"/>
      <c r="NSJ35" s="233"/>
      <c r="NSK35" s="233"/>
      <c r="NSL35" s="233"/>
      <c r="NSM35" s="231"/>
      <c r="NSN35" s="231"/>
      <c r="NSO35" s="229"/>
      <c r="NSP35" s="230"/>
      <c r="NSQ35" s="231"/>
      <c r="NSR35" s="232"/>
      <c r="NSS35" s="233"/>
      <c r="NST35" s="233"/>
      <c r="NSU35" s="233"/>
      <c r="NSV35" s="233"/>
      <c r="NSW35" s="233"/>
      <c r="NSX35" s="233"/>
      <c r="NSY35" s="231"/>
      <c r="NSZ35" s="231"/>
      <c r="NTA35" s="229"/>
      <c r="NTB35" s="230"/>
      <c r="NTC35" s="231"/>
      <c r="NTD35" s="232"/>
      <c r="NTE35" s="233"/>
      <c r="NTF35" s="233"/>
      <c r="NTG35" s="233"/>
      <c r="NTH35" s="233"/>
      <c r="NTI35" s="233"/>
      <c r="NTJ35" s="233"/>
      <c r="NTK35" s="231"/>
      <c r="NTL35" s="231"/>
      <c r="NTM35" s="229"/>
      <c r="NTN35" s="230"/>
      <c r="NTO35" s="231"/>
      <c r="NTP35" s="232"/>
      <c r="NTQ35" s="233"/>
      <c r="NTR35" s="233"/>
      <c r="NTS35" s="233"/>
      <c r="NTT35" s="233"/>
      <c r="NTU35" s="233"/>
      <c r="NTV35" s="233"/>
      <c r="NTW35" s="231"/>
      <c r="NTX35" s="231"/>
      <c r="NTY35" s="229"/>
      <c r="NTZ35" s="230"/>
      <c r="NUA35" s="231"/>
      <c r="NUB35" s="232"/>
      <c r="NUC35" s="233"/>
      <c r="NUD35" s="233"/>
      <c r="NUE35" s="233"/>
      <c r="NUF35" s="233"/>
      <c r="NUG35" s="233"/>
      <c r="NUH35" s="233"/>
      <c r="NUI35" s="231"/>
      <c r="NUJ35" s="231"/>
      <c r="NUK35" s="229"/>
      <c r="NUL35" s="230"/>
      <c r="NUM35" s="231"/>
      <c r="NUN35" s="232"/>
      <c r="NUO35" s="233"/>
      <c r="NUP35" s="233"/>
      <c r="NUQ35" s="233"/>
      <c r="NUR35" s="233"/>
      <c r="NUS35" s="233"/>
      <c r="NUT35" s="233"/>
      <c r="NUU35" s="231"/>
      <c r="NUV35" s="231"/>
      <c r="NUW35" s="229"/>
      <c r="NUX35" s="230"/>
      <c r="NUY35" s="231"/>
      <c r="NUZ35" s="232"/>
      <c r="NVA35" s="233"/>
      <c r="NVB35" s="233"/>
      <c r="NVC35" s="233"/>
      <c r="NVD35" s="233"/>
      <c r="NVE35" s="233"/>
      <c r="NVF35" s="233"/>
      <c r="NVG35" s="231"/>
      <c r="NVH35" s="231"/>
      <c r="NVI35" s="229"/>
      <c r="NVJ35" s="230"/>
      <c r="NVK35" s="231"/>
      <c r="NVL35" s="232"/>
      <c r="NVM35" s="233"/>
      <c r="NVN35" s="233"/>
      <c r="NVO35" s="233"/>
      <c r="NVP35" s="233"/>
      <c r="NVQ35" s="233"/>
      <c r="NVR35" s="233"/>
      <c r="NVS35" s="231"/>
      <c r="NVT35" s="231"/>
      <c r="NVU35" s="229"/>
      <c r="NVV35" s="230"/>
      <c r="NVW35" s="231"/>
      <c r="NVX35" s="232"/>
      <c r="NVY35" s="233"/>
      <c r="NVZ35" s="233"/>
      <c r="NWA35" s="233"/>
      <c r="NWB35" s="233"/>
      <c r="NWC35" s="233"/>
      <c r="NWD35" s="233"/>
      <c r="NWE35" s="231"/>
      <c r="NWF35" s="231"/>
      <c r="NWG35" s="229"/>
      <c r="NWH35" s="230"/>
      <c r="NWI35" s="231"/>
      <c r="NWJ35" s="232"/>
      <c r="NWK35" s="233"/>
      <c r="NWL35" s="233"/>
      <c r="NWM35" s="233"/>
      <c r="NWN35" s="233"/>
      <c r="NWO35" s="233"/>
      <c r="NWP35" s="233"/>
      <c r="NWQ35" s="231"/>
      <c r="NWR35" s="231"/>
      <c r="NWS35" s="229"/>
      <c r="NWT35" s="230"/>
      <c r="NWU35" s="231"/>
      <c r="NWV35" s="232"/>
      <c r="NWW35" s="233"/>
      <c r="NWX35" s="233"/>
      <c r="NWY35" s="233"/>
      <c r="NWZ35" s="233"/>
      <c r="NXA35" s="233"/>
      <c r="NXB35" s="233"/>
      <c r="NXC35" s="231"/>
      <c r="NXD35" s="231"/>
      <c r="NXE35" s="229"/>
      <c r="NXF35" s="230"/>
      <c r="NXG35" s="231"/>
      <c r="NXH35" s="232"/>
      <c r="NXI35" s="233"/>
      <c r="NXJ35" s="233"/>
      <c r="NXK35" s="233"/>
      <c r="NXL35" s="233"/>
      <c r="NXM35" s="233"/>
      <c r="NXN35" s="233"/>
      <c r="NXO35" s="231"/>
      <c r="NXP35" s="231"/>
      <c r="NXQ35" s="229"/>
      <c r="NXR35" s="230"/>
      <c r="NXS35" s="231"/>
      <c r="NXT35" s="232"/>
      <c r="NXU35" s="233"/>
      <c r="NXV35" s="233"/>
      <c r="NXW35" s="233"/>
      <c r="NXX35" s="233"/>
      <c r="NXY35" s="233"/>
      <c r="NXZ35" s="233"/>
      <c r="NYA35" s="231"/>
      <c r="NYB35" s="231"/>
      <c r="NYC35" s="229"/>
      <c r="NYD35" s="230"/>
      <c r="NYE35" s="231"/>
      <c r="NYF35" s="232"/>
      <c r="NYG35" s="233"/>
      <c r="NYH35" s="233"/>
      <c r="NYI35" s="233"/>
      <c r="NYJ35" s="233"/>
      <c r="NYK35" s="233"/>
      <c r="NYL35" s="233"/>
      <c r="NYM35" s="231"/>
      <c r="NYN35" s="231"/>
      <c r="NYO35" s="229"/>
      <c r="NYP35" s="230"/>
      <c r="NYQ35" s="231"/>
      <c r="NYR35" s="232"/>
      <c r="NYS35" s="233"/>
      <c r="NYT35" s="233"/>
      <c r="NYU35" s="233"/>
      <c r="NYV35" s="233"/>
      <c r="NYW35" s="233"/>
      <c r="NYX35" s="233"/>
      <c r="NYY35" s="231"/>
      <c r="NYZ35" s="231"/>
      <c r="NZA35" s="229"/>
      <c r="NZB35" s="230"/>
      <c r="NZC35" s="231"/>
      <c r="NZD35" s="232"/>
      <c r="NZE35" s="233"/>
      <c r="NZF35" s="233"/>
      <c r="NZG35" s="233"/>
      <c r="NZH35" s="233"/>
      <c r="NZI35" s="233"/>
      <c r="NZJ35" s="233"/>
      <c r="NZK35" s="231"/>
      <c r="NZL35" s="231"/>
      <c r="NZM35" s="229"/>
      <c r="NZN35" s="230"/>
      <c r="NZO35" s="231"/>
      <c r="NZP35" s="232"/>
      <c r="NZQ35" s="233"/>
      <c r="NZR35" s="233"/>
      <c r="NZS35" s="233"/>
      <c r="NZT35" s="233"/>
      <c r="NZU35" s="233"/>
      <c r="NZV35" s="233"/>
      <c r="NZW35" s="231"/>
      <c r="NZX35" s="231"/>
      <c r="NZY35" s="229"/>
      <c r="NZZ35" s="230"/>
      <c r="OAA35" s="231"/>
      <c r="OAB35" s="232"/>
      <c r="OAC35" s="233"/>
      <c r="OAD35" s="233"/>
      <c r="OAE35" s="233"/>
      <c r="OAF35" s="233"/>
      <c r="OAG35" s="233"/>
      <c r="OAH35" s="233"/>
      <c r="OAI35" s="231"/>
      <c r="OAJ35" s="231"/>
      <c r="OAK35" s="229"/>
      <c r="OAL35" s="230"/>
      <c r="OAM35" s="231"/>
      <c r="OAN35" s="232"/>
      <c r="OAO35" s="233"/>
      <c r="OAP35" s="233"/>
      <c r="OAQ35" s="233"/>
      <c r="OAR35" s="233"/>
      <c r="OAS35" s="233"/>
      <c r="OAT35" s="233"/>
      <c r="OAU35" s="231"/>
      <c r="OAV35" s="231"/>
      <c r="OAW35" s="229"/>
      <c r="OAX35" s="230"/>
      <c r="OAY35" s="231"/>
      <c r="OAZ35" s="232"/>
      <c r="OBA35" s="233"/>
      <c r="OBB35" s="233"/>
      <c r="OBC35" s="233"/>
      <c r="OBD35" s="233"/>
      <c r="OBE35" s="233"/>
      <c r="OBF35" s="233"/>
      <c r="OBG35" s="231"/>
      <c r="OBH35" s="231"/>
      <c r="OBI35" s="229"/>
      <c r="OBJ35" s="230"/>
      <c r="OBK35" s="231"/>
      <c r="OBL35" s="232"/>
      <c r="OBM35" s="233"/>
      <c r="OBN35" s="233"/>
      <c r="OBO35" s="233"/>
      <c r="OBP35" s="233"/>
      <c r="OBQ35" s="233"/>
      <c r="OBR35" s="233"/>
      <c r="OBS35" s="231"/>
      <c r="OBT35" s="231"/>
      <c r="OBU35" s="229"/>
      <c r="OBV35" s="230"/>
      <c r="OBW35" s="231"/>
      <c r="OBX35" s="232"/>
      <c r="OBY35" s="233"/>
      <c r="OBZ35" s="233"/>
      <c r="OCA35" s="233"/>
      <c r="OCB35" s="233"/>
      <c r="OCC35" s="233"/>
      <c r="OCD35" s="233"/>
      <c r="OCE35" s="231"/>
      <c r="OCF35" s="231"/>
      <c r="OCG35" s="229"/>
      <c r="OCH35" s="230"/>
      <c r="OCI35" s="231"/>
      <c r="OCJ35" s="232"/>
      <c r="OCK35" s="233"/>
      <c r="OCL35" s="233"/>
      <c r="OCM35" s="233"/>
      <c r="OCN35" s="233"/>
      <c r="OCO35" s="233"/>
      <c r="OCP35" s="233"/>
      <c r="OCQ35" s="231"/>
      <c r="OCR35" s="231"/>
      <c r="OCS35" s="229"/>
      <c r="OCT35" s="230"/>
      <c r="OCU35" s="231"/>
      <c r="OCV35" s="232"/>
      <c r="OCW35" s="233"/>
      <c r="OCX35" s="233"/>
      <c r="OCY35" s="233"/>
      <c r="OCZ35" s="233"/>
      <c r="ODA35" s="233"/>
      <c r="ODB35" s="233"/>
      <c r="ODC35" s="231"/>
      <c r="ODD35" s="231"/>
      <c r="ODE35" s="229"/>
      <c r="ODF35" s="230"/>
      <c r="ODG35" s="231"/>
      <c r="ODH35" s="232"/>
      <c r="ODI35" s="233"/>
      <c r="ODJ35" s="233"/>
      <c r="ODK35" s="233"/>
      <c r="ODL35" s="233"/>
      <c r="ODM35" s="233"/>
      <c r="ODN35" s="233"/>
      <c r="ODO35" s="231"/>
      <c r="ODP35" s="231"/>
      <c r="ODQ35" s="229"/>
      <c r="ODR35" s="230"/>
      <c r="ODS35" s="231"/>
      <c r="ODT35" s="232"/>
      <c r="ODU35" s="233"/>
      <c r="ODV35" s="233"/>
      <c r="ODW35" s="233"/>
      <c r="ODX35" s="233"/>
      <c r="ODY35" s="233"/>
      <c r="ODZ35" s="233"/>
      <c r="OEA35" s="231"/>
      <c r="OEB35" s="231"/>
      <c r="OEC35" s="229"/>
      <c r="OED35" s="230"/>
      <c r="OEE35" s="231"/>
      <c r="OEF35" s="232"/>
      <c r="OEG35" s="233"/>
      <c r="OEH35" s="233"/>
      <c r="OEI35" s="233"/>
      <c r="OEJ35" s="233"/>
      <c r="OEK35" s="233"/>
      <c r="OEL35" s="233"/>
      <c r="OEM35" s="231"/>
      <c r="OEN35" s="231"/>
      <c r="OEO35" s="229"/>
      <c r="OEP35" s="230"/>
      <c r="OEQ35" s="231"/>
      <c r="OER35" s="232"/>
      <c r="OES35" s="233"/>
      <c r="OET35" s="233"/>
      <c r="OEU35" s="233"/>
      <c r="OEV35" s="233"/>
      <c r="OEW35" s="233"/>
      <c r="OEX35" s="233"/>
      <c r="OEY35" s="231"/>
      <c r="OEZ35" s="231"/>
      <c r="OFA35" s="229"/>
      <c r="OFB35" s="230"/>
      <c r="OFC35" s="231"/>
      <c r="OFD35" s="232"/>
      <c r="OFE35" s="233"/>
      <c r="OFF35" s="233"/>
      <c r="OFG35" s="233"/>
      <c r="OFH35" s="233"/>
      <c r="OFI35" s="233"/>
      <c r="OFJ35" s="233"/>
      <c r="OFK35" s="231"/>
      <c r="OFL35" s="231"/>
      <c r="OFM35" s="229"/>
      <c r="OFN35" s="230"/>
      <c r="OFO35" s="231"/>
      <c r="OFP35" s="232"/>
      <c r="OFQ35" s="233"/>
      <c r="OFR35" s="233"/>
      <c r="OFS35" s="233"/>
      <c r="OFT35" s="233"/>
      <c r="OFU35" s="233"/>
      <c r="OFV35" s="233"/>
      <c r="OFW35" s="231"/>
      <c r="OFX35" s="231"/>
      <c r="OFY35" s="229"/>
      <c r="OFZ35" s="230"/>
      <c r="OGA35" s="231"/>
      <c r="OGB35" s="232"/>
      <c r="OGC35" s="233"/>
      <c r="OGD35" s="233"/>
      <c r="OGE35" s="233"/>
      <c r="OGF35" s="233"/>
      <c r="OGG35" s="233"/>
      <c r="OGH35" s="233"/>
      <c r="OGI35" s="231"/>
      <c r="OGJ35" s="231"/>
      <c r="OGK35" s="229"/>
      <c r="OGL35" s="230"/>
      <c r="OGM35" s="231"/>
      <c r="OGN35" s="232"/>
      <c r="OGO35" s="233"/>
      <c r="OGP35" s="233"/>
      <c r="OGQ35" s="233"/>
      <c r="OGR35" s="233"/>
      <c r="OGS35" s="233"/>
      <c r="OGT35" s="233"/>
      <c r="OGU35" s="231"/>
      <c r="OGV35" s="231"/>
      <c r="OGW35" s="229"/>
      <c r="OGX35" s="230"/>
      <c r="OGY35" s="231"/>
      <c r="OGZ35" s="232"/>
      <c r="OHA35" s="233"/>
      <c r="OHB35" s="233"/>
      <c r="OHC35" s="233"/>
      <c r="OHD35" s="233"/>
      <c r="OHE35" s="233"/>
      <c r="OHF35" s="233"/>
      <c r="OHG35" s="231"/>
      <c r="OHH35" s="231"/>
      <c r="OHI35" s="229"/>
      <c r="OHJ35" s="230"/>
      <c r="OHK35" s="231"/>
      <c r="OHL35" s="232"/>
      <c r="OHM35" s="233"/>
      <c r="OHN35" s="233"/>
      <c r="OHO35" s="233"/>
      <c r="OHP35" s="233"/>
      <c r="OHQ35" s="233"/>
      <c r="OHR35" s="233"/>
      <c r="OHS35" s="231"/>
      <c r="OHT35" s="231"/>
      <c r="OHU35" s="229"/>
      <c r="OHV35" s="230"/>
      <c r="OHW35" s="231"/>
      <c r="OHX35" s="232"/>
      <c r="OHY35" s="233"/>
      <c r="OHZ35" s="233"/>
      <c r="OIA35" s="233"/>
      <c r="OIB35" s="233"/>
      <c r="OIC35" s="233"/>
      <c r="OID35" s="233"/>
      <c r="OIE35" s="231"/>
      <c r="OIF35" s="231"/>
      <c r="OIG35" s="229"/>
      <c r="OIH35" s="230"/>
      <c r="OII35" s="231"/>
      <c r="OIJ35" s="232"/>
      <c r="OIK35" s="233"/>
      <c r="OIL35" s="233"/>
      <c r="OIM35" s="233"/>
      <c r="OIN35" s="233"/>
      <c r="OIO35" s="233"/>
      <c r="OIP35" s="233"/>
      <c r="OIQ35" s="231"/>
      <c r="OIR35" s="231"/>
      <c r="OIS35" s="229"/>
      <c r="OIT35" s="230"/>
      <c r="OIU35" s="231"/>
      <c r="OIV35" s="232"/>
      <c r="OIW35" s="233"/>
      <c r="OIX35" s="233"/>
      <c r="OIY35" s="233"/>
      <c r="OIZ35" s="233"/>
      <c r="OJA35" s="233"/>
      <c r="OJB35" s="233"/>
      <c r="OJC35" s="231"/>
      <c r="OJD35" s="231"/>
      <c r="OJE35" s="229"/>
      <c r="OJF35" s="230"/>
      <c r="OJG35" s="231"/>
      <c r="OJH35" s="232"/>
      <c r="OJI35" s="233"/>
      <c r="OJJ35" s="233"/>
      <c r="OJK35" s="233"/>
      <c r="OJL35" s="233"/>
      <c r="OJM35" s="233"/>
      <c r="OJN35" s="233"/>
      <c r="OJO35" s="231"/>
      <c r="OJP35" s="231"/>
      <c r="OJQ35" s="229"/>
      <c r="OJR35" s="230"/>
      <c r="OJS35" s="231"/>
      <c r="OJT35" s="232"/>
      <c r="OJU35" s="233"/>
      <c r="OJV35" s="233"/>
      <c r="OJW35" s="233"/>
      <c r="OJX35" s="233"/>
      <c r="OJY35" s="233"/>
      <c r="OJZ35" s="233"/>
      <c r="OKA35" s="231"/>
      <c r="OKB35" s="231"/>
      <c r="OKC35" s="229"/>
      <c r="OKD35" s="230"/>
      <c r="OKE35" s="231"/>
      <c r="OKF35" s="232"/>
      <c r="OKG35" s="233"/>
      <c r="OKH35" s="233"/>
      <c r="OKI35" s="233"/>
      <c r="OKJ35" s="233"/>
      <c r="OKK35" s="233"/>
      <c r="OKL35" s="233"/>
      <c r="OKM35" s="231"/>
      <c r="OKN35" s="231"/>
      <c r="OKO35" s="229"/>
      <c r="OKP35" s="230"/>
      <c r="OKQ35" s="231"/>
      <c r="OKR35" s="232"/>
      <c r="OKS35" s="233"/>
      <c r="OKT35" s="233"/>
      <c r="OKU35" s="233"/>
      <c r="OKV35" s="233"/>
      <c r="OKW35" s="233"/>
      <c r="OKX35" s="233"/>
      <c r="OKY35" s="231"/>
      <c r="OKZ35" s="231"/>
      <c r="OLA35" s="229"/>
      <c r="OLB35" s="230"/>
      <c r="OLC35" s="231"/>
      <c r="OLD35" s="232"/>
      <c r="OLE35" s="233"/>
      <c r="OLF35" s="233"/>
      <c r="OLG35" s="233"/>
      <c r="OLH35" s="233"/>
      <c r="OLI35" s="233"/>
      <c r="OLJ35" s="233"/>
      <c r="OLK35" s="231"/>
      <c r="OLL35" s="231"/>
      <c r="OLM35" s="229"/>
      <c r="OLN35" s="230"/>
      <c r="OLO35" s="231"/>
      <c r="OLP35" s="232"/>
      <c r="OLQ35" s="233"/>
      <c r="OLR35" s="233"/>
      <c r="OLS35" s="233"/>
      <c r="OLT35" s="233"/>
      <c r="OLU35" s="233"/>
      <c r="OLV35" s="233"/>
      <c r="OLW35" s="231"/>
      <c r="OLX35" s="231"/>
      <c r="OLY35" s="229"/>
      <c r="OLZ35" s="230"/>
      <c r="OMA35" s="231"/>
      <c r="OMB35" s="232"/>
      <c r="OMC35" s="233"/>
      <c r="OMD35" s="233"/>
      <c r="OME35" s="233"/>
      <c r="OMF35" s="233"/>
      <c r="OMG35" s="233"/>
      <c r="OMH35" s="233"/>
      <c r="OMI35" s="231"/>
      <c r="OMJ35" s="231"/>
      <c r="OMK35" s="229"/>
      <c r="OML35" s="230"/>
      <c r="OMM35" s="231"/>
      <c r="OMN35" s="232"/>
      <c r="OMO35" s="233"/>
      <c r="OMP35" s="233"/>
      <c r="OMQ35" s="233"/>
      <c r="OMR35" s="233"/>
      <c r="OMS35" s="233"/>
      <c r="OMT35" s="233"/>
      <c r="OMU35" s="231"/>
      <c r="OMV35" s="231"/>
      <c r="OMW35" s="229"/>
      <c r="OMX35" s="230"/>
      <c r="OMY35" s="231"/>
      <c r="OMZ35" s="232"/>
      <c r="ONA35" s="233"/>
      <c r="ONB35" s="233"/>
      <c r="ONC35" s="233"/>
      <c r="OND35" s="233"/>
      <c r="ONE35" s="233"/>
      <c r="ONF35" s="233"/>
      <c r="ONG35" s="231"/>
      <c r="ONH35" s="231"/>
      <c r="ONI35" s="229"/>
      <c r="ONJ35" s="230"/>
      <c r="ONK35" s="231"/>
      <c r="ONL35" s="232"/>
      <c r="ONM35" s="233"/>
      <c r="ONN35" s="233"/>
      <c r="ONO35" s="233"/>
      <c r="ONP35" s="233"/>
      <c r="ONQ35" s="233"/>
      <c r="ONR35" s="233"/>
      <c r="ONS35" s="231"/>
      <c r="ONT35" s="231"/>
      <c r="ONU35" s="229"/>
      <c r="ONV35" s="230"/>
      <c r="ONW35" s="231"/>
      <c r="ONX35" s="232"/>
      <c r="ONY35" s="233"/>
      <c r="ONZ35" s="233"/>
      <c r="OOA35" s="233"/>
      <c r="OOB35" s="233"/>
      <c r="OOC35" s="233"/>
      <c r="OOD35" s="233"/>
      <c r="OOE35" s="231"/>
      <c r="OOF35" s="231"/>
      <c r="OOG35" s="229"/>
      <c r="OOH35" s="230"/>
      <c r="OOI35" s="231"/>
      <c r="OOJ35" s="232"/>
      <c r="OOK35" s="233"/>
      <c r="OOL35" s="233"/>
      <c r="OOM35" s="233"/>
      <c r="OON35" s="233"/>
      <c r="OOO35" s="233"/>
      <c r="OOP35" s="233"/>
      <c r="OOQ35" s="231"/>
      <c r="OOR35" s="231"/>
      <c r="OOS35" s="229"/>
      <c r="OOT35" s="230"/>
      <c r="OOU35" s="231"/>
      <c r="OOV35" s="232"/>
      <c r="OOW35" s="233"/>
      <c r="OOX35" s="233"/>
      <c r="OOY35" s="233"/>
      <c r="OOZ35" s="233"/>
      <c r="OPA35" s="233"/>
      <c r="OPB35" s="233"/>
      <c r="OPC35" s="231"/>
      <c r="OPD35" s="231"/>
      <c r="OPE35" s="229"/>
      <c r="OPF35" s="230"/>
      <c r="OPG35" s="231"/>
      <c r="OPH35" s="232"/>
      <c r="OPI35" s="233"/>
      <c r="OPJ35" s="233"/>
      <c r="OPK35" s="233"/>
      <c r="OPL35" s="233"/>
      <c r="OPM35" s="233"/>
      <c r="OPN35" s="233"/>
      <c r="OPO35" s="231"/>
      <c r="OPP35" s="231"/>
      <c r="OPQ35" s="229"/>
      <c r="OPR35" s="230"/>
      <c r="OPS35" s="231"/>
      <c r="OPT35" s="232"/>
      <c r="OPU35" s="233"/>
      <c r="OPV35" s="233"/>
      <c r="OPW35" s="233"/>
      <c r="OPX35" s="233"/>
      <c r="OPY35" s="233"/>
      <c r="OPZ35" s="233"/>
      <c r="OQA35" s="231"/>
      <c r="OQB35" s="231"/>
      <c r="OQC35" s="229"/>
      <c r="OQD35" s="230"/>
      <c r="OQE35" s="231"/>
      <c r="OQF35" s="232"/>
      <c r="OQG35" s="233"/>
      <c r="OQH35" s="233"/>
      <c r="OQI35" s="233"/>
      <c r="OQJ35" s="233"/>
      <c r="OQK35" s="233"/>
      <c r="OQL35" s="233"/>
      <c r="OQM35" s="231"/>
      <c r="OQN35" s="231"/>
      <c r="OQO35" s="229"/>
      <c r="OQP35" s="230"/>
      <c r="OQQ35" s="231"/>
      <c r="OQR35" s="232"/>
      <c r="OQS35" s="233"/>
      <c r="OQT35" s="233"/>
      <c r="OQU35" s="233"/>
      <c r="OQV35" s="233"/>
      <c r="OQW35" s="233"/>
      <c r="OQX35" s="233"/>
      <c r="OQY35" s="231"/>
      <c r="OQZ35" s="231"/>
      <c r="ORA35" s="229"/>
      <c r="ORB35" s="230"/>
      <c r="ORC35" s="231"/>
      <c r="ORD35" s="232"/>
      <c r="ORE35" s="233"/>
      <c r="ORF35" s="233"/>
      <c r="ORG35" s="233"/>
      <c r="ORH35" s="233"/>
      <c r="ORI35" s="233"/>
      <c r="ORJ35" s="233"/>
      <c r="ORK35" s="231"/>
      <c r="ORL35" s="231"/>
      <c r="ORM35" s="229"/>
      <c r="ORN35" s="230"/>
      <c r="ORO35" s="231"/>
      <c r="ORP35" s="232"/>
      <c r="ORQ35" s="233"/>
      <c r="ORR35" s="233"/>
      <c r="ORS35" s="233"/>
      <c r="ORT35" s="233"/>
      <c r="ORU35" s="233"/>
      <c r="ORV35" s="233"/>
      <c r="ORW35" s="231"/>
      <c r="ORX35" s="231"/>
      <c r="ORY35" s="229"/>
      <c r="ORZ35" s="230"/>
      <c r="OSA35" s="231"/>
      <c r="OSB35" s="232"/>
      <c r="OSC35" s="233"/>
      <c r="OSD35" s="233"/>
      <c r="OSE35" s="233"/>
      <c r="OSF35" s="233"/>
      <c r="OSG35" s="233"/>
      <c r="OSH35" s="233"/>
      <c r="OSI35" s="231"/>
      <c r="OSJ35" s="231"/>
      <c r="OSK35" s="229"/>
      <c r="OSL35" s="230"/>
      <c r="OSM35" s="231"/>
      <c r="OSN35" s="232"/>
      <c r="OSO35" s="233"/>
      <c r="OSP35" s="233"/>
      <c r="OSQ35" s="233"/>
      <c r="OSR35" s="233"/>
      <c r="OSS35" s="233"/>
      <c r="OST35" s="233"/>
      <c r="OSU35" s="231"/>
      <c r="OSV35" s="231"/>
      <c r="OSW35" s="229"/>
      <c r="OSX35" s="230"/>
      <c r="OSY35" s="231"/>
      <c r="OSZ35" s="232"/>
      <c r="OTA35" s="233"/>
      <c r="OTB35" s="233"/>
      <c r="OTC35" s="233"/>
      <c r="OTD35" s="233"/>
      <c r="OTE35" s="233"/>
      <c r="OTF35" s="233"/>
      <c r="OTG35" s="231"/>
      <c r="OTH35" s="231"/>
      <c r="OTI35" s="229"/>
      <c r="OTJ35" s="230"/>
      <c r="OTK35" s="231"/>
      <c r="OTL35" s="232"/>
      <c r="OTM35" s="233"/>
      <c r="OTN35" s="233"/>
      <c r="OTO35" s="233"/>
      <c r="OTP35" s="233"/>
      <c r="OTQ35" s="233"/>
      <c r="OTR35" s="233"/>
      <c r="OTS35" s="231"/>
      <c r="OTT35" s="231"/>
      <c r="OTU35" s="229"/>
      <c r="OTV35" s="230"/>
      <c r="OTW35" s="231"/>
      <c r="OTX35" s="232"/>
      <c r="OTY35" s="233"/>
      <c r="OTZ35" s="233"/>
      <c r="OUA35" s="233"/>
      <c r="OUB35" s="233"/>
      <c r="OUC35" s="233"/>
      <c r="OUD35" s="233"/>
      <c r="OUE35" s="231"/>
      <c r="OUF35" s="231"/>
      <c r="OUG35" s="229"/>
      <c r="OUH35" s="230"/>
      <c r="OUI35" s="231"/>
      <c r="OUJ35" s="232"/>
      <c r="OUK35" s="233"/>
      <c r="OUL35" s="233"/>
      <c r="OUM35" s="233"/>
      <c r="OUN35" s="233"/>
      <c r="OUO35" s="233"/>
      <c r="OUP35" s="233"/>
      <c r="OUQ35" s="231"/>
      <c r="OUR35" s="231"/>
      <c r="OUS35" s="229"/>
      <c r="OUT35" s="230"/>
      <c r="OUU35" s="231"/>
      <c r="OUV35" s="232"/>
      <c r="OUW35" s="233"/>
      <c r="OUX35" s="233"/>
      <c r="OUY35" s="233"/>
      <c r="OUZ35" s="233"/>
      <c r="OVA35" s="233"/>
      <c r="OVB35" s="233"/>
      <c r="OVC35" s="231"/>
      <c r="OVD35" s="231"/>
      <c r="OVE35" s="229"/>
      <c r="OVF35" s="230"/>
      <c r="OVG35" s="231"/>
      <c r="OVH35" s="232"/>
      <c r="OVI35" s="233"/>
      <c r="OVJ35" s="233"/>
      <c r="OVK35" s="233"/>
      <c r="OVL35" s="233"/>
      <c r="OVM35" s="233"/>
      <c r="OVN35" s="233"/>
      <c r="OVO35" s="231"/>
      <c r="OVP35" s="231"/>
      <c r="OVQ35" s="229"/>
      <c r="OVR35" s="230"/>
      <c r="OVS35" s="231"/>
      <c r="OVT35" s="232"/>
      <c r="OVU35" s="233"/>
      <c r="OVV35" s="233"/>
      <c r="OVW35" s="233"/>
      <c r="OVX35" s="233"/>
      <c r="OVY35" s="233"/>
      <c r="OVZ35" s="233"/>
      <c r="OWA35" s="231"/>
      <c r="OWB35" s="231"/>
      <c r="OWC35" s="229"/>
      <c r="OWD35" s="230"/>
      <c r="OWE35" s="231"/>
      <c r="OWF35" s="232"/>
      <c r="OWG35" s="233"/>
      <c r="OWH35" s="233"/>
      <c r="OWI35" s="233"/>
      <c r="OWJ35" s="233"/>
      <c r="OWK35" s="233"/>
      <c r="OWL35" s="233"/>
      <c r="OWM35" s="231"/>
      <c r="OWN35" s="231"/>
      <c r="OWO35" s="229"/>
      <c r="OWP35" s="230"/>
      <c r="OWQ35" s="231"/>
      <c r="OWR35" s="232"/>
      <c r="OWS35" s="233"/>
      <c r="OWT35" s="233"/>
      <c r="OWU35" s="233"/>
      <c r="OWV35" s="233"/>
      <c r="OWW35" s="233"/>
      <c r="OWX35" s="233"/>
      <c r="OWY35" s="231"/>
      <c r="OWZ35" s="231"/>
      <c r="OXA35" s="229"/>
      <c r="OXB35" s="230"/>
      <c r="OXC35" s="231"/>
      <c r="OXD35" s="232"/>
      <c r="OXE35" s="233"/>
      <c r="OXF35" s="233"/>
      <c r="OXG35" s="233"/>
      <c r="OXH35" s="233"/>
      <c r="OXI35" s="233"/>
      <c r="OXJ35" s="233"/>
      <c r="OXK35" s="231"/>
      <c r="OXL35" s="231"/>
      <c r="OXM35" s="229"/>
      <c r="OXN35" s="230"/>
      <c r="OXO35" s="231"/>
      <c r="OXP35" s="232"/>
      <c r="OXQ35" s="233"/>
      <c r="OXR35" s="233"/>
      <c r="OXS35" s="233"/>
      <c r="OXT35" s="233"/>
      <c r="OXU35" s="233"/>
      <c r="OXV35" s="233"/>
      <c r="OXW35" s="231"/>
      <c r="OXX35" s="231"/>
      <c r="OXY35" s="229"/>
      <c r="OXZ35" s="230"/>
      <c r="OYA35" s="231"/>
      <c r="OYB35" s="232"/>
      <c r="OYC35" s="233"/>
      <c r="OYD35" s="233"/>
      <c r="OYE35" s="233"/>
      <c r="OYF35" s="233"/>
      <c r="OYG35" s="233"/>
      <c r="OYH35" s="233"/>
      <c r="OYI35" s="231"/>
      <c r="OYJ35" s="231"/>
      <c r="OYK35" s="229"/>
      <c r="OYL35" s="230"/>
      <c r="OYM35" s="231"/>
      <c r="OYN35" s="232"/>
      <c r="OYO35" s="233"/>
      <c r="OYP35" s="233"/>
      <c r="OYQ35" s="233"/>
      <c r="OYR35" s="233"/>
      <c r="OYS35" s="233"/>
      <c r="OYT35" s="233"/>
      <c r="OYU35" s="231"/>
      <c r="OYV35" s="231"/>
      <c r="OYW35" s="229"/>
      <c r="OYX35" s="230"/>
      <c r="OYY35" s="231"/>
      <c r="OYZ35" s="232"/>
      <c r="OZA35" s="233"/>
      <c r="OZB35" s="233"/>
      <c r="OZC35" s="233"/>
      <c r="OZD35" s="233"/>
      <c r="OZE35" s="233"/>
      <c r="OZF35" s="233"/>
      <c r="OZG35" s="231"/>
      <c r="OZH35" s="231"/>
      <c r="OZI35" s="229"/>
      <c r="OZJ35" s="230"/>
      <c r="OZK35" s="231"/>
      <c r="OZL35" s="232"/>
      <c r="OZM35" s="233"/>
      <c r="OZN35" s="233"/>
      <c r="OZO35" s="233"/>
      <c r="OZP35" s="233"/>
      <c r="OZQ35" s="233"/>
      <c r="OZR35" s="233"/>
      <c r="OZS35" s="231"/>
      <c r="OZT35" s="231"/>
      <c r="OZU35" s="229"/>
      <c r="OZV35" s="230"/>
      <c r="OZW35" s="231"/>
      <c r="OZX35" s="232"/>
      <c r="OZY35" s="233"/>
      <c r="OZZ35" s="233"/>
      <c r="PAA35" s="233"/>
      <c r="PAB35" s="233"/>
      <c r="PAC35" s="233"/>
      <c r="PAD35" s="233"/>
      <c r="PAE35" s="231"/>
      <c r="PAF35" s="231"/>
      <c r="PAG35" s="229"/>
      <c r="PAH35" s="230"/>
      <c r="PAI35" s="231"/>
      <c r="PAJ35" s="232"/>
      <c r="PAK35" s="233"/>
      <c r="PAL35" s="233"/>
      <c r="PAM35" s="233"/>
      <c r="PAN35" s="233"/>
      <c r="PAO35" s="233"/>
      <c r="PAP35" s="233"/>
      <c r="PAQ35" s="231"/>
      <c r="PAR35" s="231"/>
      <c r="PAS35" s="229"/>
      <c r="PAT35" s="230"/>
      <c r="PAU35" s="231"/>
      <c r="PAV35" s="232"/>
      <c r="PAW35" s="233"/>
      <c r="PAX35" s="233"/>
      <c r="PAY35" s="233"/>
      <c r="PAZ35" s="233"/>
      <c r="PBA35" s="233"/>
      <c r="PBB35" s="233"/>
      <c r="PBC35" s="231"/>
      <c r="PBD35" s="231"/>
      <c r="PBE35" s="229"/>
      <c r="PBF35" s="230"/>
      <c r="PBG35" s="231"/>
      <c r="PBH35" s="232"/>
      <c r="PBI35" s="233"/>
      <c r="PBJ35" s="233"/>
      <c r="PBK35" s="233"/>
      <c r="PBL35" s="233"/>
      <c r="PBM35" s="233"/>
      <c r="PBN35" s="233"/>
      <c r="PBO35" s="231"/>
      <c r="PBP35" s="231"/>
      <c r="PBQ35" s="229"/>
      <c r="PBR35" s="230"/>
      <c r="PBS35" s="231"/>
      <c r="PBT35" s="232"/>
      <c r="PBU35" s="233"/>
      <c r="PBV35" s="233"/>
      <c r="PBW35" s="233"/>
      <c r="PBX35" s="233"/>
      <c r="PBY35" s="233"/>
      <c r="PBZ35" s="233"/>
      <c r="PCA35" s="231"/>
      <c r="PCB35" s="231"/>
      <c r="PCC35" s="229"/>
      <c r="PCD35" s="230"/>
      <c r="PCE35" s="231"/>
      <c r="PCF35" s="232"/>
      <c r="PCG35" s="233"/>
      <c r="PCH35" s="233"/>
      <c r="PCI35" s="233"/>
      <c r="PCJ35" s="233"/>
      <c r="PCK35" s="233"/>
      <c r="PCL35" s="233"/>
      <c r="PCM35" s="231"/>
      <c r="PCN35" s="231"/>
      <c r="PCO35" s="229"/>
      <c r="PCP35" s="230"/>
      <c r="PCQ35" s="231"/>
      <c r="PCR35" s="232"/>
      <c r="PCS35" s="233"/>
      <c r="PCT35" s="233"/>
      <c r="PCU35" s="233"/>
      <c r="PCV35" s="233"/>
      <c r="PCW35" s="233"/>
      <c r="PCX35" s="233"/>
      <c r="PCY35" s="231"/>
      <c r="PCZ35" s="231"/>
      <c r="PDA35" s="229"/>
      <c r="PDB35" s="230"/>
      <c r="PDC35" s="231"/>
      <c r="PDD35" s="232"/>
      <c r="PDE35" s="233"/>
      <c r="PDF35" s="233"/>
      <c r="PDG35" s="233"/>
      <c r="PDH35" s="233"/>
      <c r="PDI35" s="233"/>
      <c r="PDJ35" s="233"/>
      <c r="PDK35" s="231"/>
      <c r="PDL35" s="231"/>
      <c r="PDM35" s="229"/>
      <c r="PDN35" s="230"/>
      <c r="PDO35" s="231"/>
      <c r="PDP35" s="232"/>
      <c r="PDQ35" s="233"/>
      <c r="PDR35" s="233"/>
      <c r="PDS35" s="233"/>
      <c r="PDT35" s="233"/>
      <c r="PDU35" s="233"/>
      <c r="PDV35" s="233"/>
      <c r="PDW35" s="231"/>
      <c r="PDX35" s="231"/>
      <c r="PDY35" s="229"/>
      <c r="PDZ35" s="230"/>
      <c r="PEA35" s="231"/>
      <c r="PEB35" s="232"/>
      <c r="PEC35" s="233"/>
      <c r="PED35" s="233"/>
      <c r="PEE35" s="233"/>
      <c r="PEF35" s="233"/>
      <c r="PEG35" s="233"/>
      <c r="PEH35" s="233"/>
      <c r="PEI35" s="231"/>
      <c r="PEJ35" s="231"/>
      <c r="PEK35" s="229"/>
      <c r="PEL35" s="230"/>
      <c r="PEM35" s="231"/>
      <c r="PEN35" s="232"/>
      <c r="PEO35" s="233"/>
      <c r="PEP35" s="233"/>
      <c r="PEQ35" s="233"/>
      <c r="PER35" s="233"/>
      <c r="PES35" s="233"/>
      <c r="PET35" s="233"/>
      <c r="PEU35" s="231"/>
      <c r="PEV35" s="231"/>
      <c r="PEW35" s="229"/>
      <c r="PEX35" s="230"/>
      <c r="PEY35" s="231"/>
      <c r="PEZ35" s="232"/>
      <c r="PFA35" s="233"/>
      <c r="PFB35" s="233"/>
      <c r="PFC35" s="233"/>
      <c r="PFD35" s="233"/>
      <c r="PFE35" s="233"/>
      <c r="PFF35" s="233"/>
      <c r="PFG35" s="231"/>
      <c r="PFH35" s="231"/>
      <c r="PFI35" s="229"/>
      <c r="PFJ35" s="230"/>
      <c r="PFK35" s="231"/>
      <c r="PFL35" s="232"/>
      <c r="PFM35" s="233"/>
      <c r="PFN35" s="233"/>
      <c r="PFO35" s="233"/>
      <c r="PFP35" s="233"/>
      <c r="PFQ35" s="233"/>
      <c r="PFR35" s="233"/>
      <c r="PFS35" s="231"/>
      <c r="PFT35" s="231"/>
      <c r="PFU35" s="229"/>
      <c r="PFV35" s="230"/>
      <c r="PFW35" s="231"/>
      <c r="PFX35" s="232"/>
      <c r="PFY35" s="233"/>
      <c r="PFZ35" s="233"/>
      <c r="PGA35" s="233"/>
      <c r="PGB35" s="233"/>
      <c r="PGC35" s="233"/>
      <c r="PGD35" s="233"/>
      <c r="PGE35" s="231"/>
      <c r="PGF35" s="231"/>
      <c r="PGG35" s="229"/>
      <c r="PGH35" s="230"/>
      <c r="PGI35" s="231"/>
      <c r="PGJ35" s="232"/>
      <c r="PGK35" s="233"/>
      <c r="PGL35" s="233"/>
      <c r="PGM35" s="233"/>
      <c r="PGN35" s="233"/>
      <c r="PGO35" s="233"/>
      <c r="PGP35" s="233"/>
      <c r="PGQ35" s="231"/>
      <c r="PGR35" s="231"/>
      <c r="PGS35" s="229"/>
      <c r="PGT35" s="230"/>
      <c r="PGU35" s="231"/>
      <c r="PGV35" s="232"/>
      <c r="PGW35" s="233"/>
      <c r="PGX35" s="233"/>
      <c r="PGY35" s="233"/>
      <c r="PGZ35" s="233"/>
      <c r="PHA35" s="233"/>
      <c r="PHB35" s="233"/>
      <c r="PHC35" s="231"/>
      <c r="PHD35" s="231"/>
      <c r="PHE35" s="229"/>
      <c r="PHF35" s="230"/>
      <c r="PHG35" s="231"/>
      <c r="PHH35" s="232"/>
      <c r="PHI35" s="233"/>
      <c r="PHJ35" s="233"/>
      <c r="PHK35" s="233"/>
      <c r="PHL35" s="233"/>
      <c r="PHM35" s="233"/>
      <c r="PHN35" s="233"/>
      <c r="PHO35" s="231"/>
      <c r="PHP35" s="231"/>
      <c r="PHQ35" s="229"/>
      <c r="PHR35" s="230"/>
      <c r="PHS35" s="231"/>
      <c r="PHT35" s="232"/>
      <c r="PHU35" s="233"/>
      <c r="PHV35" s="233"/>
      <c r="PHW35" s="233"/>
      <c r="PHX35" s="233"/>
      <c r="PHY35" s="233"/>
      <c r="PHZ35" s="233"/>
      <c r="PIA35" s="231"/>
      <c r="PIB35" s="231"/>
      <c r="PIC35" s="229"/>
      <c r="PID35" s="230"/>
      <c r="PIE35" s="231"/>
      <c r="PIF35" s="232"/>
      <c r="PIG35" s="233"/>
      <c r="PIH35" s="233"/>
      <c r="PII35" s="233"/>
      <c r="PIJ35" s="233"/>
      <c r="PIK35" s="233"/>
      <c r="PIL35" s="233"/>
      <c r="PIM35" s="231"/>
      <c r="PIN35" s="231"/>
      <c r="PIO35" s="229"/>
      <c r="PIP35" s="230"/>
      <c r="PIQ35" s="231"/>
      <c r="PIR35" s="232"/>
      <c r="PIS35" s="233"/>
      <c r="PIT35" s="233"/>
      <c r="PIU35" s="233"/>
      <c r="PIV35" s="233"/>
      <c r="PIW35" s="233"/>
      <c r="PIX35" s="233"/>
      <c r="PIY35" s="231"/>
      <c r="PIZ35" s="231"/>
      <c r="PJA35" s="229"/>
      <c r="PJB35" s="230"/>
      <c r="PJC35" s="231"/>
      <c r="PJD35" s="232"/>
      <c r="PJE35" s="233"/>
      <c r="PJF35" s="233"/>
      <c r="PJG35" s="233"/>
      <c r="PJH35" s="233"/>
      <c r="PJI35" s="233"/>
      <c r="PJJ35" s="233"/>
      <c r="PJK35" s="231"/>
      <c r="PJL35" s="231"/>
      <c r="PJM35" s="229"/>
      <c r="PJN35" s="230"/>
      <c r="PJO35" s="231"/>
      <c r="PJP35" s="232"/>
      <c r="PJQ35" s="233"/>
      <c r="PJR35" s="233"/>
      <c r="PJS35" s="233"/>
      <c r="PJT35" s="233"/>
      <c r="PJU35" s="233"/>
      <c r="PJV35" s="233"/>
      <c r="PJW35" s="231"/>
      <c r="PJX35" s="231"/>
      <c r="PJY35" s="229"/>
      <c r="PJZ35" s="230"/>
      <c r="PKA35" s="231"/>
      <c r="PKB35" s="232"/>
      <c r="PKC35" s="233"/>
      <c r="PKD35" s="233"/>
      <c r="PKE35" s="233"/>
      <c r="PKF35" s="233"/>
      <c r="PKG35" s="233"/>
      <c r="PKH35" s="233"/>
      <c r="PKI35" s="231"/>
      <c r="PKJ35" s="231"/>
      <c r="PKK35" s="229"/>
      <c r="PKL35" s="230"/>
      <c r="PKM35" s="231"/>
      <c r="PKN35" s="232"/>
      <c r="PKO35" s="233"/>
      <c r="PKP35" s="233"/>
      <c r="PKQ35" s="233"/>
      <c r="PKR35" s="233"/>
      <c r="PKS35" s="233"/>
      <c r="PKT35" s="233"/>
      <c r="PKU35" s="231"/>
      <c r="PKV35" s="231"/>
      <c r="PKW35" s="229"/>
      <c r="PKX35" s="230"/>
      <c r="PKY35" s="231"/>
      <c r="PKZ35" s="232"/>
      <c r="PLA35" s="233"/>
      <c r="PLB35" s="233"/>
      <c r="PLC35" s="233"/>
      <c r="PLD35" s="233"/>
      <c r="PLE35" s="233"/>
      <c r="PLF35" s="233"/>
      <c r="PLG35" s="231"/>
      <c r="PLH35" s="231"/>
      <c r="PLI35" s="229"/>
      <c r="PLJ35" s="230"/>
      <c r="PLK35" s="231"/>
      <c r="PLL35" s="232"/>
      <c r="PLM35" s="233"/>
      <c r="PLN35" s="233"/>
      <c r="PLO35" s="233"/>
      <c r="PLP35" s="233"/>
      <c r="PLQ35" s="233"/>
      <c r="PLR35" s="233"/>
      <c r="PLS35" s="231"/>
      <c r="PLT35" s="231"/>
      <c r="PLU35" s="229"/>
      <c r="PLV35" s="230"/>
      <c r="PLW35" s="231"/>
      <c r="PLX35" s="232"/>
      <c r="PLY35" s="233"/>
      <c r="PLZ35" s="233"/>
      <c r="PMA35" s="233"/>
      <c r="PMB35" s="233"/>
      <c r="PMC35" s="233"/>
      <c r="PMD35" s="233"/>
      <c r="PME35" s="231"/>
      <c r="PMF35" s="231"/>
      <c r="PMG35" s="229"/>
      <c r="PMH35" s="230"/>
      <c r="PMI35" s="231"/>
      <c r="PMJ35" s="232"/>
      <c r="PMK35" s="233"/>
      <c r="PML35" s="233"/>
      <c r="PMM35" s="233"/>
      <c r="PMN35" s="233"/>
      <c r="PMO35" s="233"/>
      <c r="PMP35" s="233"/>
      <c r="PMQ35" s="231"/>
      <c r="PMR35" s="231"/>
      <c r="PMS35" s="229"/>
      <c r="PMT35" s="230"/>
      <c r="PMU35" s="231"/>
      <c r="PMV35" s="232"/>
      <c r="PMW35" s="233"/>
      <c r="PMX35" s="233"/>
      <c r="PMY35" s="233"/>
      <c r="PMZ35" s="233"/>
      <c r="PNA35" s="233"/>
      <c r="PNB35" s="233"/>
      <c r="PNC35" s="231"/>
      <c r="PND35" s="231"/>
      <c r="PNE35" s="229"/>
      <c r="PNF35" s="230"/>
      <c r="PNG35" s="231"/>
      <c r="PNH35" s="232"/>
      <c r="PNI35" s="233"/>
      <c r="PNJ35" s="233"/>
      <c r="PNK35" s="233"/>
      <c r="PNL35" s="233"/>
      <c r="PNM35" s="233"/>
      <c r="PNN35" s="233"/>
      <c r="PNO35" s="231"/>
      <c r="PNP35" s="231"/>
      <c r="PNQ35" s="229"/>
      <c r="PNR35" s="230"/>
      <c r="PNS35" s="231"/>
      <c r="PNT35" s="232"/>
      <c r="PNU35" s="233"/>
      <c r="PNV35" s="233"/>
      <c r="PNW35" s="233"/>
      <c r="PNX35" s="233"/>
      <c r="PNY35" s="233"/>
      <c r="PNZ35" s="233"/>
      <c r="POA35" s="231"/>
      <c r="POB35" s="231"/>
      <c r="POC35" s="229"/>
      <c r="POD35" s="230"/>
      <c r="POE35" s="231"/>
      <c r="POF35" s="232"/>
      <c r="POG35" s="233"/>
      <c r="POH35" s="233"/>
      <c r="POI35" s="233"/>
      <c r="POJ35" s="233"/>
      <c r="POK35" s="233"/>
      <c r="POL35" s="233"/>
      <c r="POM35" s="231"/>
      <c r="PON35" s="231"/>
      <c r="POO35" s="229"/>
      <c r="POP35" s="230"/>
      <c r="POQ35" s="231"/>
      <c r="POR35" s="232"/>
      <c r="POS35" s="233"/>
      <c r="POT35" s="233"/>
      <c r="POU35" s="233"/>
      <c r="POV35" s="233"/>
      <c r="POW35" s="233"/>
      <c r="POX35" s="233"/>
      <c r="POY35" s="231"/>
      <c r="POZ35" s="231"/>
      <c r="PPA35" s="229"/>
      <c r="PPB35" s="230"/>
      <c r="PPC35" s="231"/>
      <c r="PPD35" s="232"/>
      <c r="PPE35" s="233"/>
      <c r="PPF35" s="233"/>
      <c r="PPG35" s="233"/>
      <c r="PPH35" s="233"/>
      <c r="PPI35" s="233"/>
      <c r="PPJ35" s="233"/>
      <c r="PPK35" s="231"/>
      <c r="PPL35" s="231"/>
      <c r="PPM35" s="229"/>
      <c r="PPN35" s="230"/>
      <c r="PPO35" s="231"/>
      <c r="PPP35" s="232"/>
      <c r="PPQ35" s="233"/>
      <c r="PPR35" s="233"/>
      <c r="PPS35" s="233"/>
      <c r="PPT35" s="233"/>
      <c r="PPU35" s="233"/>
      <c r="PPV35" s="233"/>
      <c r="PPW35" s="231"/>
      <c r="PPX35" s="231"/>
      <c r="PPY35" s="229"/>
      <c r="PPZ35" s="230"/>
      <c r="PQA35" s="231"/>
      <c r="PQB35" s="232"/>
      <c r="PQC35" s="233"/>
      <c r="PQD35" s="233"/>
      <c r="PQE35" s="233"/>
      <c r="PQF35" s="233"/>
      <c r="PQG35" s="233"/>
      <c r="PQH35" s="233"/>
      <c r="PQI35" s="231"/>
      <c r="PQJ35" s="231"/>
      <c r="PQK35" s="229"/>
      <c r="PQL35" s="230"/>
      <c r="PQM35" s="231"/>
      <c r="PQN35" s="232"/>
      <c r="PQO35" s="233"/>
      <c r="PQP35" s="233"/>
      <c r="PQQ35" s="233"/>
      <c r="PQR35" s="233"/>
      <c r="PQS35" s="233"/>
      <c r="PQT35" s="233"/>
      <c r="PQU35" s="231"/>
      <c r="PQV35" s="231"/>
      <c r="PQW35" s="229"/>
      <c r="PQX35" s="230"/>
      <c r="PQY35" s="231"/>
      <c r="PQZ35" s="232"/>
      <c r="PRA35" s="233"/>
      <c r="PRB35" s="233"/>
      <c r="PRC35" s="233"/>
      <c r="PRD35" s="233"/>
      <c r="PRE35" s="233"/>
      <c r="PRF35" s="233"/>
      <c r="PRG35" s="231"/>
      <c r="PRH35" s="231"/>
      <c r="PRI35" s="229"/>
      <c r="PRJ35" s="230"/>
      <c r="PRK35" s="231"/>
      <c r="PRL35" s="232"/>
      <c r="PRM35" s="233"/>
      <c r="PRN35" s="233"/>
      <c r="PRO35" s="233"/>
      <c r="PRP35" s="233"/>
      <c r="PRQ35" s="233"/>
      <c r="PRR35" s="233"/>
      <c r="PRS35" s="231"/>
      <c r="PRT35" s="231"/>
      <c r="PRU35" s="229"/>
      <c r="PRV35" s="230"/>
      <c r="PRW35" s="231"/>
      <c r="PRX35" s="232"/>
      <c r="PRY35" s="233"/>
      <c r="PRZ35" s="233"/>
      <c r="PSA35" s="233"/>
      <c r="PSB35" s="233"/>
      <c r="PSC35" s="233"/>
      <c r="PSD35" s="233"/>
      <c r="PSE35" s="231"/>
      <c r="PSF35" s="231"/>
      <c r="PSG35" s="229"/>
      <c r="PSH35" s="230"/>
      <c r="PSI35" s="231"/>
      <c r="PSJ35" s="232"/>
      <c r="PSK35" s="233"/>
      <c r="PSL35" s="233"/>
      <c r="PSM35" s="233"/>
      <c r="PSN35" s="233"/>
      <c r="PSO35" s="233"/>
      <c r="PSP35" s="233"/>
      <c r="PSQ35" s="231"/>
      <c r="PSR35" s="231"/>
      <c r="PSS35" s="229"/>
      <c r="PST35" s="230"/>
      <c r="PSU35" s="231"/>
      <c r="PSV35" s="232"/>
      <c r="PSW35" s="233"/>
      <c r="PSX35" s="233"/>
      <c r="PSY35" s="233"/>
      <c r="PSZ35" s="233"/>
      <c r="PTA35" s="233"/>
      <c r="PTB35" s="233"/>
      <c r="PTC35" s="231"/>
      <c r="PTD35" s="231"/>
      <c r="PTE35" s="229"/>
      <c r="PTF35" s="230"/>
      <c r="PTG35" s="231"/>
      <c r="PTH35" s="232"/>
      <c r="PTI35" s="233"/>
      <c r="PTJ35" s="233"/>
      <c r="PTK35" s="233"/>
      <c r="PTL35" s="233"/>
      <c r="PTM35" s="233"/>
      <c r="PTN35" s="233"/>
      <c r="PTO35" s="231"/>
      <c r="PTP35" s="231"/>
      <c r="PTQ35" s="229"/>
      <c r="PTR35" s="230"/>
      <c r="PTS35" s="231"/>
      <c r="PTT35" s="232"/>
      <c r="PTU35" s="233"/>
      <c r="PTV35" s="233"/>
      <c r="PTW35" s="233"/>
      <c r="PTX35" s="233"/>
      <c r="PTY35" s="233"/>
      <c r="PTZ35" s="233"/>
      <c r="PUA35" s="231"/>
      <c r="PUB35" s="231"/>
      <c r="PUC35" s="229"/>
      <c r="PUD35" s="230"/>
      <c r="PUE35" s="231"/>
      <c r="PUF35" s="232"/>
      <c r="PUG35" s="233"/>
      <c r="PUH35" s="233"/>
      <c r="PUI35" s="233"/>
      <c r="PUJ35" s="233"/>
      <c r="PUK35" s="233"/>
      <c r="PUL35" s="233"/>
      <c r="PUM35" s="231"/>
      <c r="PUN35" s="231"/>
      <c r="PUO35" s="229"/>
      <c r="PUP35" s="230"/>
      <c r="PUQ35" s="231"/>
      <c r="PUR35" s="232"/>
      <c r="PUS35" s="233"/>
      <c r="PUT35" s="233"/>
      <c r="PUU35" s="233"/>
      <c r="PUV35" s="233"/>
      <c r="PUW35" s="233"/>
      <c r="PUX35" s="233"/>
      <c r="PUY35" s="231"/>
      <c r="PUZ35" s="231"/>
      <c r="PVA35" s="229"/>
      <c r="PVB35" s="230"/>
      <c r="PVC35" s="231"/>
      <c r="PVD35" s="232"/>
      <c r="PVE35" s="233"/>
      <c r="PVF35" s="233"/>
      <c r="PVG35" s="233"/>
      <c r="PVH35" s="233"/>
      <c r="PVI35" s="233"/>
      <c r="PVJ35" s="233"/>
      <c r="PVK35" s="231"/>
      <c r="PVL35" s="231"/>
      <c r="PVM35" s="229"/>
      <c r="PVN35" s="230"/>
      <c r="PVO35" s="231"/>
      <c r="PVP35" s="232"/>
      <c r="PVQ35" s="233"/>
      <c r="PVR35" s="233"/>
      <c r="PVS35" s="233"/>
      <c r="PVT35" s="233"/>
      <c r="PVU35" s="233"/>
      <c r="PVV35" s="233"/>
      <c r="PVW35" s="231"/>
      <c r="PVX35" s="231"/>
      <c r="PVY35" s="229"/>
      <c r="PVZ35" s="230"/>
      <c r="PWA35" s="231"/>
      <c r="PWB35" s="232"/>
      <c r="PWC35" s="233"/>
      <c r="PWD35" s="233"/>
      <c r="PWE35" s="233"/>
      <c r="PWF35" s="233"/>
      <c r="PWG35" s="233"/>
      <c r="PWH35" s="233"/>
      <c r="PWI35" s="231"/>
      <c r="PWJ35" s="231"/>
      <c r="PWK35" s="229"/>
      <c r="PWL35" s="230"/>
      <c r="PWM35" s="231"/>
      <c r="PWN35" s="232"/>
      <c r="PWO35" s="233"/>
      <c r="PWP35" s="233"/>
      <c r="PWQ35" s="233"/>
      <c r="PWR35" s="233"/>
      <c r="PWS35" s="233"/>
      <c r="PWT35" s="233"/>
      <c r="PWU35" s="231"/>
      <c r="PWV35" s="231"/>
      <c r="PWW35" s="229"/>
      <c r="PWX35" s="230"/>
      <c r="PWY35" s="231"/>
      <c r="PWZ35" s="232"/>
      <c r="PXA35" s="233"/>
      <c r="PXB35" s="233"/>
      <c r="PXC35" s="233"/>
      <c r="PXD35" s="233"/>
      <c r="PXE35" s="233"/>
      <c r="PXF35" s="233"/>
      <c r="PXG35" s="231"/>
      <c r="PXH35" s="231"/>
      <c r="PXI35" s="229"/>
      <c r="PXJ35" s="230"/>
      <c r="PXK35" s="231"/>
      <c r="PXL35" s="232"/>
      <c r="PXM35" s="233"/>
      <c r="PXN35" s="233"/>
      <c r="PXO35" s="233"/>
      <c r="PXP35" s="233"/>
      <c r="PXQ35" s="233"/>
      <c r="PXR35" s="233"/>
      <c r="PXS35" s="231"/>
      <c r="PXT35" s="231"/>
      <c r="PXU35" s="229"/>
      <c r="PXV35" s="230"/>
      <c r="PXW35" s="231"/>
      <c r="PXX35" s="232"/>
      <c r="PXY35" s="233"/>
      <c r="PXZ35" s="233"/>
      <c r="PYA35" s="233"/>
      <c r="PYB35" s="233"/>
      <c r="PYC35" s="233"/>
      <c r="PYD35" s="233"/>
      <c r="PYE35" s="231"/>
      <c r="PYF35" s="231"/>
      <c r="PYG35" s="229"/>
      <c r="PYH35" s="230"/>
      <c r="PYI35" s="231"/>
      <c r="PYJ35" s="232"/>
      <c r="PYK35" s="233"/>
      <c r="PYL35" s="233"/>
      <c r="PYM35" s="233"/>
      <c r="PYN35" s="233"/>
      <c r="PYO35" s="233"/>
      <c r="PYP35" s="233"/>
      <c r="PYQ35" s="231"/>
      <c r="PYR35" s="231"/>
      <c r="PYS35" s="229"/>
      <c r="PYT35" s="230"/>
      <c r="PYU35" s="231"/>
      <c r="PYV35" s="232"/>
      <c r="PYW35" s="233"/>
      <c r="PYX35" s="233"/>
      <c r="PYY35" s="233"/>
      <c r="PYZ35" s="233"/>
      <c r="PZA35" s="233"/>
      <c r="PZB35" s="233"/>
      <c r="PZC35" s="231"/>
      <c r="PZD35" s="231"/>
      <c r="PZE35" s="229"/>
      <c r="PZF35" s="230"/>
      <c r="PZG35" s="231"/>
      <c r="PZH35" s="232"/>
      <c r="PZI35" s="233"/>
      <c r="PZJ35" s="233"/>
      <c r="PZK35" s="233"/>
      <c r="PZL35" s="233"/>
      <c r="PZM35" s="233"/>
      <c r="PZN35" s="233"/>
      <c r="PZO35" s="231"/>
      <c r="PZP35" s="231"/>
      <c r="PZQ35" s="229"/>
      <c r="PZR35" s="230"/>
      <c r="PZS35" s="231"/>
      <c r="PZT35" s="232"/>
      <c r="PZU35" s="233"/>
      <c r="PZV35" s="233"/>
      <c r="PZW35" s="233"/>
      <c r="PZX35" s="233"/>
      <c r="PZY35" s="233"/>
      <c r="PZZ35" s="233"/>
      <c r="QAA35" s="231"/>
      <c r="QAB35" s="231"/>
      <c r="QAC35" s="229"/>
      <c r="QAD35" s="230"/>
      <c r="QAE35" s="231"/>
      <c r="QAF35" s="232"/>
      <c r="QAG35" s="233"/>
      <c r="QAH35" s="233"/>
      <c r="QAI35" s="233"/>
      <c r="QAJ35" s="233"/>
      <c r="QAK35" s="233"/>
      <c r="QAL35" s="233"/>
      <c r="QAM35" s="231"/>
      <c r="QAN35" s="231"/>
      <c r="QAO35" s="229"/>
      <c r="QAP35" s="230"/>
      <c r="QAQ35" s="231"/>
      <c r="QAR35" s="232"/>
      <c r="QAS35" s="233"/>
      <c r="QAT35" s="233"/>
      <c r="QAU35" s="233"/>
      <c r="QAV35" s="233"/>
      <c r="QAW35" s="233"/>
      <c r="QAX35" s="233"/>
      <c r="QAY35" s="231"/>
      <c r="QAZ35" s="231"/>
      <c r="QBA35" s="229"/>
      <c r="QBB35" s="230"/>
      <c r="QBC35" s="231"/>
      <c r="QBD35" s="232"/>
      <c r="QBE35" s="233"/>
      <c r="QBF35" s="233"/>
      <c r="QBG35" s="233"/>
      <c r="QBH35" s="233"/>
      <c r="QBI35" s="233"/>
      <c r="QBJ35" s="233"/>
      <c r="QBK35" s="231"/>
      <c r="QBL35" s="231"/>
      <c r="QBM35" s="229"/>
      <c r="QBN35" s="230"/>
      <c r="QBO35" s="231"/>
      <c r="QBP35" s="232"/>
      <c r="QBQ35" s="233"/>
      <c r="QBR35" s="233"/>
      <c r="QBS35" s="233"/>
      <c r="QBT35" s="233"/>
      <c r="QBU35" s="233"/>
      <c r="QBV35" s="233"/>
      <c r="QBW35" s="231"/>
      <c r="QBX35" s="231"/>
      <c r="QBY35" s="229"/>
      <c r="QBZ35" s="230"/>
      <c r="QCA35" s="231"/>
      <c r="QCB35" s="232"/>
      <c r="QCC35" s="233"/>
      <c r="QCD35" s="233"/>
      <c r="QCE35" s="233"/>
      <c r="QCF35" s="233"/>
      <c r="QCG35" s="233"/>
      <c r="QCH35" s="233"/>
      <c r="QCI35" s="231"/>
      <c r="QCJ35" s="231"/>
      <c r="QCK35" s="229"/>
      <c r="QCL35" s="230"/>
      <c r="QCM35" s="231"/>
      <c r="QCN35" s="232"/>
      <c r="QCO35" s="233"/>
      <c r="QCP35" s="233"/>
      <c r="QCQ35" s="233"/>
      <c r="QCR35" s="233"/>
      <c r="QCS35" s="233"/>
      <c r="QCT35" s="233"/>
      <c r="QCU35" s="231"/>
      <c r="QCV35" s="231"/>
      <c r="QCW35" s="229"/>
      <c r="QCX35" s="230"/>
      <c r="QCY35" s="231"/>
      <c r="QCZ35" s="232"/>
      <c r="QDA35" s="233"/>
      <c r="QDB35" s="233"/>
      <c r="QDC35" s="233"/>
      <c r="QDD35" s="233"/>
      <c r="QDE35" s="233"/>
      <c r="QDF35" s="233"/>
      <c r="QDG35" s="231"/>
      <c r="QDH35" s="231"/>
      <c r="QDI35" s="229"/>
      <c r="QDJ35" s="230"/>
      <c r="QDK35" s="231"/>
      <c r="QDL35" s="232"/>
      <c r="QDM35" s="233"/>
      <c r="QDN35" s="233"/>
      <c r="QDO35" s="233"/>
      <c r="QDP35" s="233"/>
      <c r="QDQ35" s="233"/>
      <c r="QDR35" s="233"/>
      <c r="QDS35" s="231"/>
      <c r="QDT35" s="231"/>
      <c r="QDU35" s="229"/>
      <c r="QDV35" s="230"/>
      <c r="QDW35" s="231"/>
      <c r="QDX35" s="232"/>
      <c r="QDY35" s="233"/>
      <c r="QDZ35" s="233"/>
      <c r="QEA35" s="233"/>
      <c r="QEB35" s="233"/>
      <c r="QEC35" s="233"/>
      <c r="QED35" s="233"/>
      <c r="QEE35" s="231"/>
      <c r="QEF35" s="231"/>
      <c r="QEG35" s="229"/>
      <c r="QEH35" s="230"/>
      <c r="QEI35" s="231"/>
      <c r="QEJ35" s="232"/>
      <c r="QEK35" s="233"/>
      <c r="QEL35" s="233"/>
      <c r="QEM35" s="233"/>
      <c r="QEN35" s="233"/>
      <c r="QEO35" s="233"/>
      <c r="QEP35" s="233"/>
      <c r="QEQ35" s="231"/>
      <c r="QER35" s="231"/>
      <c r="QES35" s="229"/>
      <c r="QET35" s="230"/>
      <c r="QEU35" s="231"/>
      <c r="QEV35" s="232"/>
      <c r="QEW35" s="233"/>
      <c r="QEX35" s="233"/>
      <c r="QEY35" s="233"/>
      <c r="QEZ35" s="233"/>
      <c r="QFA35" s="233"/>
      <c r="QFB35" s="233"/>
      <c r="QFC35" s="231"/>
      <c r="QFD35" s="231"/>
      <c r="QFE35" s="229"/>
      <c r="QFF35" s="230"/>
      <c r="QFG35" s="231"/>
      <c r="QFH35" s="232"/>
      <c r="QFI35" s="233"/>
      <c r="QFJ35" s="233"/>
      <c r="QFK35" s="233"/>
      <c r="QFL35" s="233"/>
      <c r="QFM35" s="233"/>
      <c r="QFN35" s="233"/>
      <c r="QFO35" s="231"/>
      <c r="QFP35" s="231"/>
      <c r="QFQ35" s="229"/>
      <c r="QFR35" s="230"/>
      <c r="QFS35" s="231"/>
      <c r="QFT35" s="232"/>
      <c r="QFU35" s="233"/>
      <c r="QFV35" s="233"/>
      <c r="QFW35" s="233"/>
      <c r="QFX35" s="233"/>
      <c r="QFY35" s="233"/>
      <c r="QFZ35" s="233"/>
      <c r="QGA35" s="231"/>
      <c r="QGB35" s="231"/>
      <c r="QGC35" s="229"/>
      <c r="QGD35" s="230"/>
      <c r="QGE35" s="231"/>
      <c r="QGF35" s="232"/>
      <c r="QGG35" s="233"/>
      <c r="QGH35" s="233"/>
      <c r="QGI35" s="233"/>
      <c r="QGJ35" s="233"/>
      <c r="QGK35" s="233"/>
      <c r="QGL35" s="233"/>
      <c r="QGM35" s="231"/>
      <c r="QGN35" s="231"/>
      <c r="QGO35" s="229"/>
      <c r="QGP35" s="230"/>
      <c r="QGQ35" s="231"/>
      <c r="QGR35" s="232"/>
      <c r="QGS35" s="233"/>
      <c r="QGT35" s="233"/>
      <c r="QGU35" s="233"/>
      <c r="QGV35" s="233"/>
      <c r="QGW35" s="233"/>
      <c r="QGX35" s="233"/>
      <c r="QGY35" s="231"/>
      <c r="QGZ35" s="231"/>
      <c r="QHA35" s="229"/>
      <c r="QHB35" s="230"/>
      <c r="QHC35" s="231"/>
      <c r="QHD35" s="232"/>
      <c r="QHE35" s="233"/>
      <c r="QHF35" s="233"/>
      <c r="QHG35" s="233"/>
      <c r="QHH35" s="233"/>
      <c r="QHI35" s="233"/>
      <c r="QHJ35" s="233"/>
      <c r="QHK35" s="231"/>
      <c r="QHL35" s="231"/>
      <c r="QHM35" s="229"/>
      <c r="QHN35" s="230"/>
      <c r="QHO35" s="231"/>
      <c r="QHP35" s="232"/>
      <c r="QHQ35" s="233"/>
      <c r="QHR35" s="233"/>
      <c r="QHS35" s="233"/>
      <c r="QHT35" s="233"/>
      <c r="QHU35" s="233"/>
      <c r="QHV35" s="233"/>
      <c r="QHW35" s="231"/>
      <c r="QHX35" s="231"/>
      <c r="QHY35" s="229"/>
      <c r="QHZ35" s="230"/>
      <c r="QIA35" s="231"/>
      <c r="QIB35" s="232"/>
      <c r="QIC35" s="233"/>
      <c r="QID35" s="233"/>
      <c r="QIE35" s="233"/>
      <c r="QIF35" s="233"/>
      <c r="QIG35" s="233"/>
      <c r="QIH35" s="233"/>
      <c r="QII35" s="231"/>
      <c r="QIJ35" s="231"/>
      <c r="QIK35" s="229"/>
      <c r="QIL35" s="230"/>
      <c r="QIM35" s="231"/>
      <c r="QIN35" s="232"/>
      <c r="QIO35" s="233"/>
      <c r="QIP35" s="233"/>
      <c r="QIQ35" s="233"/>
      <c r="QIR35" s="233"/>
      <c r="QIS35" s="233"/>
      <c r="QIT35" s="233"/>
      <c r="QIU35" s="231"/>
      <c r="QIV35" s="231"/>
      <c r="QIW35" s="229"/>
      <c r="QIX35" s="230"/>
      <c r="QIY35" s="231"/>
      <c r="QIZ35" s="232"/>
      <c r="QJA35" s="233"/>
      <c r="QJB35" s="233"/>
      <c r="QJC35" s="233"/>
      <c r="QJD35" s="233"/>
      <c r="QJE35" s="233"/>
      <c r="QJF35" s="233"/>
      <c r="QJG35" s="231"/>
      <c r="QJH35" s="231"/>
      <c r="QJI35" s="229"/>
      <c r="QJJ35" s="230"/>
      <c r="QJK35" s="231"/>
      <c r="QJL35" s="232"/>
      <c r="QJM35" s="233"/>
      <c r="QJN35" s="233"/>
      <c r="QJO35" s="233"/>
      <c r="QJP35" s="233"/>
      <c r="QJQ35" s="233"/>
      <c r="QJR35" s="233"/>
      <c r="QJS35" s="231"/>
      <c r="QJT35" s="231"/>
      <c r="QJU35" s="229"/>
      <c r="QJV35" s="230"/>
      <c r="QJW35" s="231"/>
      <c r="QJX35" s="232"/>
      <c r="QJY35" s="233"/>
      <c r="QJZ35" s="233"/>
      <c r="QKA35" s="233"/>
      <c r="QKB35" s="233"/>
      <c r="QKC35" s="233"/>
      <c r="QKD35" s="233"/>
      <c r="QKE35" s="231"/>
      <c r="QKF35" s="231"/>
      <c r="QKG35" s="229"/>
      <c r="QKH35" s="230"/>
      <c r="QKI35" s="231"/>
      <c r="QKJ35" s="232"/>
      <c r="QKK35" s="233"/>
      <c r="QKL35" s="233"/>
      <c r="QKM35" s="233"/>
      <c r="QKN35" s="233"/>
      <c r="QKO35" s="233"/>
      <c r="QKP35" s="233"/>
      <c r="QKQ35" s="231"/>
      <c r="QKR35" s="231"/>
      <c r="QKS35" s="229"/>
      <c r="QKT35" s="230"/>
      <c r="QKU35" s="231"/>
      <c r="QKV35" s="232"/>
      <c r="QKW35" s="233"/>
      <c r="QKX35" s="233"/>
      <c r="QKY35" s="233"/>
      <c r="QKZ35" s="233"/>
      <c r="QLA35" s="233"/>
      <c r="QLB35" s="233"/>
      <c r="QLC35" s="231"/>
      <c r="QLD35" s="231"/>
      <c r="QLE35" s="229"/>
      <c r="QLF35" s="230"/>
      <c r="QLG35" s="231"/>
      <c r="QLH35" s="232"/>
      <c r="QLI35" s="233"/>
      <c r="QLJ35" s="233"/>
      <c r="QLK35" s="233"/>
      <c r="QLL35" s="233"/>
      <c r="QLM35" s="233"/>
      <c r="QLN35" s="233"/>
      <c r="QLO35" s="231"/>
      <c r="QLP35" s="231"/>
      <c r="QLQ35" s="229"/>
      <c r="QLR35" s="230"/>
      <c r="QLS35" s="231"/>
      <c r="QLT35" s="232"/>
      <c r="QLU35" s="233"/>
      <c r="QLV35" s="233"/>
      <c r="QLW35" s="233"/>
      <c r="QLX35" s="233"/>
      <c r="QLY35" s="233"/>
      <c r="QLZ35" s="233"/>
      <c r="QMA35" s="231"/>
      <c r="QMB35" s="231"/>
      <c r="QMC35" s="229"/>
      <c r="QMD35" s="230"/>
      <c r="QME35" s="231"/>
      <c r="QMF35" s="232"/>
      <c r="QMG35" s="233"/>
      <c r="QMH35" s="233"/>
      <c r="QMI35" s="233"/>
      <c r="QMJ35" s="233"/>
      <c r="QMK35" s="233"/>
      <c r="QML35" s="233"/>
      <c r="QMM35" s="231"/>
      <c r="QMN35" s="231"/>
      <c r="QMO35" s="229"/>
      <c r="QMP35" s="230"/>
      <c r="QMQ35" s="231"/>
      <c r="QMR35" s="232"/>
      <c r="QMS35" s="233"/>
      <c r="QMT35" s="233"/>
      <c r="QMU35" s="233"/>
      <c r="QMV35" s="233"/>
      <c r="QMW35" s="233"/>
      <c r="QMX35" s="233"/>
      <c r="QMY35" s="231"/>
      <c r="QMZ35" s="231"/>
      <c r="QNA35" s="229"/>
      <c r="QNB35" s="230"/>
      <c r="QNC35" s="231"/>
      <c r="QND35" s="232"/>
      <c r="QNE35" s="233"/>
      <c r="QNF35" s="233"/>
      <c r="QNG35" s="233"/>
      <c r="QNH35" s="233"/>
      <c r="QNI35" s="233"/>
      <c r="QNJ35" s="233"/>
      <c r="QNK35" s="231"/>
      <c r="QNL35" s="231"/>
      <c r="QNM35" s="229"/>
      <c r="QNN35" s="230"/>
      <c r="QNO35" s="231"/>
      <c r="QNP35" s="232"/>
      <c r="QNQ35" s="233"/>
      <c r="QNR35" s="233"/>
      <c r="QNS35" s="233"/>
      <c r="QNT35" s="233"/>
      <c r="QNU35" s="233"/>
      <c r="QNV35" s="233"/>
      <c r="QNW35" s="231"/>
      <c r="QNX35" s="231"/>
      <c r="QNY35" s="229"/>
      <c r="QNZ35" s="230"/>
      <c r="QOA35" s="231"/>
      <c r="QOB35" s="232"/>
      <c r="QOC35" s="233"/>
      <c r="QOD35" s="233"/>
      <c r="QOE35" s="233"/>
      <c r="QOF35" s="233"/>
      <c r="QOG35" s="233"/>
      <c r="QOH35" s="233"/>
      <c r="QOI35" s="231"/>
      <c r="QOJ35" s="231"/>
      <c r="QOK35" s="229"/>
      <c r="QOL35" s="230"/>
      <c r="QOM35" s="231"/>
      <c r="QON35" s="232"/>
      <c r="QOO35" s="233"/>
      <c r="QOP35" s="233"/>
      <c r="QOQ35" s="233"/>
      <c r="QOR35" s="233"/>
      <c r="QOS35" s="233"/>
      <c r="QOT35" s="233"/>
      <c r="QOU35" s="231"/>
      <c r="QOV35" s="231"/>
      <c r="QOW35" s="229"/>
      <c r="QOX35" s="230"/>
      <c r="QOY35" s="231"/>
      <c r="QOZ35" s="232"/>
      <c r="QPA35" s="233"/>
      <c r="QPB35" s="233"/>
      <c r="QPC35" s="233"/>
      <c r="QPD35" s="233"/>
      <c r="QPE35" s="233"/>
      <c r="QPF35" s="233"/>
      <c r="QPG35" s="231"/>
      <c r="QPH35" s="231"/>
      <c r="QPI35" s="229"/>
      <c r="QPJ35" s="230"/>
      <c r="QPK35" s="231"/>
      <c r="QPL35" s="232"/>
      <c r="QPM35" s="233"/>
      <c r="QPN35" s="233"/>
      <c r="QPO35" s="233"/>
      <c r="QPP35" s="233"/>
      <c r="QPQ35" s="233"/>
      <c r="QPR35" s="233"/>
      <c r="QPS35" s="231"/>
      <c r="QPT35" s="231"/>
      <c r="QPU35" s="229"/>
      <c r="QPV35" s="230"/>
      <c r="QPW35" s="231"/>
      <c r="QPX35" s="232"/>
      <c r="QPY35" s="233"/>
      <c r="QPZ35" s="233"/>
      <c r="QQA35" s="233"/>
      <c r="QQB35" s="233"/>
      <c r="QQC35" s="233"/>
      <c r="QQD35" s="233"/>
      <c r="QQE35" s="231"/>
      <c r="QQF35" s="231"/>
      <c r="QQG35" s="229"/>
      <c r="QQH35" s="230"/>
      <c r="QQI35" s="231"/>
      <c r="QQJ35" s="232"/>
      <c r="QQK35" s="233"/>
      <c r="QQL35" s="233"/>
      <c r="QQM35" s="233"/>
      <c r="QQN35" s="233"/>
      <c r="QQO35" s="233"/>
      <c r="QQP35" s="233"/>
      <c r="QQQ35" s="231"/>
      <c r="QQR35" s="231"/>
      <c r="QQS35" s="229"/>
      <c r="QQT35" s="230"/>
      <c r="QQU35" s="231"/>
      <c r="QQV35" s="232"/>
      <c r="QQW35" s="233"/>
      <c r="QQX35" s="233"/>
      <c r="QQY35" s="233"/>
      <c r="QQZ35" s="233"/>
      <c r="QRA35" s="233"/>
      <c r="QRB35" s="233"/>
      <c r="QRC35" s="231"/>
      <c r="QRD35" s="231"/>
      <c r="QRE35" s="229"/>
      <c r="QRF35" s="230"/>
      <c r="QRG35" s="231"/>
      <c r="QRH35" s="232"/>
      <c r="QRI35" s="233"/>
      <c r="QRJ35" s="233"/>
      <c r="QRK35" s="233"/>
      <c r="QRL35" s="233"/>
      <c r="QRM35" s="233"/>
      <c r="QRN35" s="233"/>
      <c r="QRO35" s="231"/>
      <c r="QRP35" s="231"/>
      <c r="QRQ35" s="229"/>
      <c r="QRR35" s="230"/>
      <c r="QRS35" s="231"/>
      <c r="QRT35" s="232"/>
      <c r="QRU35" s="233"/>
      <c r="QRV35" s="233"/>
      <c r="QRW35" s="233"/>
      <c r="QRX35" s="233"/>
      <c r="QRY35" s="233"/>
      <c r="QRZ35" s="233"/>
      <c r="QSA35" s="231"/>
      <c r="QSB35" s="231"/>
      <c r="QSC35" s="229"/>
      <c r="QSD35" s="230"/>
      <c r="QSE35" s="231"/>
      <c r="QSF35" s="232"/>
      <c r="QSG35" s="233"/>
      <c r="QSH35" s="233"/>
      <c r="QSI35" s="233"/>
      <c r="QSJ35" s="233"/>
      <c r="QSK35" s="233"/>
      <c r="QSL35" s="233"/>
      <c r="QSM35" s="231"/>
      <c r="QSN35" s="231"/>
      <c r="QSO35" s="229"/>
      <c r="QSP35" s="230"/>
      <c r="QSQ35" s="231"/>
      <c r="QSR35" s="232"/>
      <c r="QSS35" s="233"/>
      <c r="QST35" s="233"/>
      <c r="QSU35" s="233"/>
      <c r="QSV35" s="233"/>
      <c r="QSW35" s="233"/>
      <c r="QSX35" s="233"/>
      <c r="QSY35" s="231"/>
      <c r="QSZ35" s="231"/>
      <c r="QTA35" s="229"/>
      <c r="QTB35" s="230"/>
      <c r="QTC35" s="231"/>
      <c r="QTD35" s="232"/>
      <c r="QTE35" s="233"/>
      <c r="QTF35" s="233"/>
      <c r="QTG35" s="233"/>
      <c r="QTH35" s="233"/>
      <c r="QTI35" s="233"/>
      <c r="QTJ35" s="233"/>
      <c r="QTK35" s="231"/>
      <c r="QTL35" s="231"/>
      <c r="QTM35" s="229"/>
      <c r="QTN35" s="230"/>
      <c r="QTO35" s="231"/>
      <c r="QTP35" s="232"/>
      <c r="QTQ35" s="233"/>
      <c r="QTR35" s="233"/>
      <c r="QTS35" s="233"/>
      <c r="QTT35" s="233"/>
      <c r="QTU35" s="233"/>
      <c r="QTV35" s="233"/>
      <c r="QTW35" s="231"/>
      <c r="QTX35" s="231"/>
      <c r="QTY35" s="229"/>
      <c r="QTZ35" s="230"/>
      <c r="QUA35" s="231"/>
      <c r="QUB35" s="232"/>
      <c r="QUC35" s="233"/>
      <c r="QUD35" s="233"/>
      <c r="QUE35" s="233"/>
      <c r="QUF35" s="233"/>
      <c r="QUG35" s="233"/>
      <c r="QUH35" s="233"/>
      <c r="QUI35" s="231"/>
      <c r="QUJ35" s="231"/>
      <c r="QUK35" s="229"/>
      <c r="QUL35" s="230"/>
      <c r="QUM35" s="231"/>
      <c r="QUN35" s="232"/>
      <c r="QUO35" s="233"/>
      <c r="QUP35" s="233"/>
      <c r="QUQ35" s="233"/>
      <c r="QUR35" s="233"/>
      <c r="QUS35" s="233"/>
      <c r="QUT35" s="233"/>
      <c r="QUU35" s="231"/>
      <c r="QUV35" s="231"/>
      <c r="QUW35" s="229"/>
      <c r="QUX35" s="230"/>
      <c r="QUY35" s="231"/>
      <c r="QUZ35" s="232"/>
      <c r="QVA35" s="233"/>
      <c r="QVB35" s="233"/>
      <c r="QVC35" s="233"/>
      <c r="QVD35" s="233"/>
      <c r="QVE35" s="233"/>
      <c r="QVF35" s="233"/>
      <c r="QVG35" s="231"/>
      <c r="QVH35" s="231"/>
      <c r="QVI35" s="229"/>
      <c r="QVJ35" s="230"/>
      <c r="QVK35" s="231"/>
      <c r="QVL35" s="232"/>
      <c r="QVM35" s="233"/>
      <c r="QVN35" s="233"/>
      <c r="QVO35" s="233"/>
      <c r="QVP35" s="233"/>
      <c r="QVQ35" s="233"/>
      <c r="QVR35" s="233"/>
      <c r="QVS35" s="231"/>
      <c r="QVT35" s="231"/>
      <c r="QVU35" s="229"/>
      <c r="QVV35" s="230"/>
      <c r="QVW35" s="231"/>
      <c r="QVX35" s="232"/>
      <c r="QVY35" s="233"/>
      <c r="QVZ35" s="233"/>
      <c r="QWA35" s="233"/>
      <c r="QWB35" s="233"/>
      <c r="QWC35" s="233"/>
      <c r="QWD35" s="233"/>
      <c r="QWE35" s="231"/>
      <c r="QWF35" s="231"/>
      <c r="QWG35" s="229"/>
      <c r="QWH35" s="230"/>
      <c r="QWI35" s="231"/>
      <c r="QWJ35" s="232"/>
      <c r="QWK35" s="233"/>
      <c r="QWL35" s="233"/>
      <c r="QWM35" s="233"/>
      <c r="QWN35" s="233"/>
      <c r="QWO35" s="233"/>
      <c r="QWP35" s="233"/>
      <c r="QWQ35" s="231"/>
      <c r="QWR35" s="231"/>
      <c r="QWS35" s="229"/>
      <c r="QWT35" s="230"/>
      <c r="QWU35" s="231"/>
      <c r="QWV35" s="232"/>
      <c r="QWW35" s="233"/>
      <c r="QWX35" s="233"/>
      <c r="QWY35" s="233"/>
      <c r="QWZ35" s="233"/>
      <c r="QXA35" s="233"/>
      <c r="QXB35" s="233"/>
      <c r="QXC35" s="231"/>
      <c r="QXD35" s="231"/>
      <c r="QXE35" s="229"/>
      <c r="QXF35" s="230"/>
      <c r="QXG35" s="231"/>
      <c r="QXH35" s="232"/>
      <c r="QXI35" s="233"/>
      <c r="QXJ35" s="233"/>
      <c r="QXK35" s="233"/>
      <c r="QXL35" s="233"/>
      <c r="QXM35" s="233"/>
      <c r="QXN35" s="233"/>
      <c r="QXO35" s="231"/>
      <c r="QXP35" s="231"/>
      <c r="QXQ35" s="229"/>
      <c r="QXR35" s="230"/>
      <c r="QXS35" s="231"/>
      <c r="QXT35" s="232"/>
      <c r="QXU35" s="233"/>
      <c r="QXV35" s="233"/>
      <c r="QXW35" s="233"/>
      <c r="QXX35" s="233"/>
      <c r="QXY35" s="233"/>
      <c r="QXZ35" s="233"/>
      <c r="QYA35" s="231"/>
      <c r="QYB35" s="231"/>
      <c r="QYC35" s="229"/>
      <c r="QYD35" s="230"/>
      <c r="QYE35" s="231"/>
      <c r="QYF35" s="232"/>
      <c r="QYG35" s="233"/>
      <c r="QYH35" s="233"/>
      <c r="QYI35" s="233"/>
      <c r="QYJ35" s="233"/>
      <c r="QYK35" s="233"/>
      <c r="QYL35" s="233"/>
      <c r="QYM35" s="231"/>
      <c r="QYN35" s="231"/>
      <c r="QYO35" s="229"/>
      <c r="QYP35" s="230"/>
      <c r="QYQ35" s="231"/>
      <c r="QYR35" s="232"/>
      <c r="QYS35" s="233"/>
      <c r="QYT35" s="233"/>
      <c r="QYU35" s="233"/>
      <c r="QYV35" s="233"/>
      <c r="QYW35" s="233"/>
      <c r="QYX35" s="233"/>
      <c r="QYY35" s="231"/>
      <c r="QYZ35" s="231"/>
      <c r="QZA35" s="229"/>
      <c r="QZB35" s="230"/>
      <c r="QZC35" s="231"/>
      <c r="QZD35" s="232"/>
      <c r="QZE35" s="233"/>
      <c r="QZF35" s="233"/>
      <c r="QZG35" s="233"/>
      <c r="QZH35" s="233"/>
      <c r="QZI35" s="233"/>
      <c r="QZJ35" s="233"/>
      <c r="QZK35" s="231"/>
      <c r="QZL35" s="231"/>
      <c r="QZM35" s="229"/>
      <c r="QZN35" s="230"/>
      <c r="QZO35" s="231"/>
      <c r="QZP35" s="232"/>
      <c r="QZQ35" s="233"/>
      <c r="QZR35" s="233"/>
      <c r="QZS35" s="233"/>
      <c r="QZT35" s="233"/>
      <c r="QZU35" s="233"/>
      <c r="QZV35" s="233"/>
      <c r="QZW35" s="231"/>
      <c r="QZX35" s="231"/>
      <c r="QZY35" s="229"/>
      <c r="QZZ35" s="230"/>
      <c r="RAA35" s="231"/>
      <c r="RAB35" s="232"/>
      <c r="RAC35" s="233"/>
      <c r="RAD35" s="233"/>
      <c r="RAE35" s="233"/>
      <c r="RAF35" s="233"/>
      <c r="RAG35" s="233"/>
      <c r="RAH35" s="233"/>
      <c r="RAI35" s="231"/>
      <c r="RAJ35" s="231"/>
      <c r="RAK35" s="229"/>
      <c r="RAL35" s="230"/>
      <c r="RAM35" s="231"/>
      <c r="RAN35" s="232"/>
      <c r="RAO35" s="233"/>
      <c r="RAP35" s="233"/>
      <c r="RAQ35" s="233"/>
      <c r="RAR35" s="233"/>
      <c r="RAS35" s="233"/>
      <c r="RAT35" s="233"/>
      <c r="RAU35" s="231"/>
      <c r="RAV35" s="231"/>
      <c r="RAW35" s="229"/>
      <c r="RAX35" s="230"/>
      <c r="RAY35" s="231"/>
      <c r="RAZ35" s="232"/>
      <c r="RBA35" s="233"/>
      <c r="RBB35" s="233"/>
      <c r="RBC35" s="233"/>
      <c r="RBD35" s="233"/>
      <c r="RBE35" s="233"/>
      <c r="RBF35" s="233"/>
      <c r="RBG35" s="231"/>
      <c r="RBH35" s="231"/>
      <c r="RBI35" s="229"/>
      <c r="RBJ35" s="230"/>
      <c r="RBK35" s="231"/>
      <c r="RBL35" s="232"/>
      <c r="RBM35" s="233"/>
      <c r="RBN35" s="233"/>
      <c r="RBO35" s="233"/>
      <c r="RBP35" s="233"/>
      <c r="RBQ35" s="233"/>
      <c r="RBR35" s="233"/>
      <c r="RBS35" s="231"/>
      <c r="RBT35" s="231"/>
      <c r="RBU35" s="229"/>
      <c r="RBV35" s="230"/>
      <c r="RBW35" s="231"/>
      <c r="RBX35" s="232"/>
      <c r="RBY35" s="233"/>
      <c r="RBZ35" s="233"/>
      <c r="RCA35" s="233"/>
      <c r="RCB35" s="233"/>
      <c r="RCC35" s="233"/>
      <c r="RCD35" s="233"/>
      <c r="RCE35" s="231"/>
      <c r="RCF35" s="231"/>
      <c r="RCG35" s="229"/>
      <c r="RCH35" s="230"/>
      <c r="RCI35" s="231"/>
      <c r="RCJ35" s="232"/>
      <c r="RCK35" s="233"/>
      <c r="RCL35" s="233"/>
      <c r="RCM35" s="233"/>
      <c r="RCN35" s="233"/>
      <c r="RCO35" s="233"/>
      <c r="RCP35" s="233"/>
      <c r="RCQ35" s="231"/>
      <c r="RCR35" s="231"/>
      <c r="RCS35" s="229"/>
      <c r="RCT35" s="230"/>
      <c r="RCU35" s="231"/>
      <c r="RCV35" s="232"/>
      <c r="RCW35" s="233"/>
      <c r="RCX35" s="233"/>
      <c r="RCY35" s="233"/>
      <c r="RCZ35" s="233"/>
      <c r="RDA35" s="233"/>
      <c r="RDB35" s="233"/>
      <c r="RDC35" s="231"/>
      <c r="RDD35" s="231"/>
      <c r="RDE35" s="229"/>
      <c r="RDF35" s="230"/>
      <c r="RDG35" s="231"/>
      <c r="RDH35" s="232"/>
      <c r="RDI35" s="233"/>
      <c r="RDJ35" s="233"/>
      <c r="RDK35" s="233"/>
      <c r="RDL35" s="233"/>
      <c r="RDM35" s="233"/>
      <c r="RDN35" s="233"/>
      <c r="RDO35" s="231"/>
      <c r="RDP35" s="231"/>
      <c r="RDQ35" s="229"/>
      <c r="RDR35" s="230"/>
      <c r="RDS35" s="231"/>
      <c r="RDT35" s="232"/>
      <c r="RDU35" s="233"/>
      <c r="RDV35" s="233"/>
      <c r="RDW35" s="233"/>
      <c r="RDX35" s="233"/>
      <c r="RDY35" s="233"/>
      <c r="RDZ35" s="233"/>
      <c r="REA35" s="231"/>
      <c r="REB35" s="231"/>
      <c r="REC35" s="229"/>
      <c r="RED35" s="230"/>
      <c r="REE35" s="231"/>
      <c r="REF35" s="232"/>
      <c r="REG35" s="233"/>
      <c r="REH35" s="233"/>
      <c r="REI35" s="233"/>
      <c r="REJ35" s="233"/>
      <c r="REK35" s="233"/>
      <c r="REL35" s="233"/>
      <c r="REM35" s="231"/>
      <c r="REN35" s="231"/>
      <c r="REO35" s="229"/>
      <c r="REP35" s="230"/>
      <c r="REQ35" s="231"/>
      <c r="RER35" s="232"/>
      <c r="RES35" s="233"/>
      <c r="RET35" s="233"/>
      <c r="REU35" s="233"/>
      <c r="REV35" s="233"/>
      <c r="REW35" s="233"/>
      <c r="REX35" s="233"/>
      <c r="REY35" s="231"/>
      <c r="REZ35" s="231"/>
      <c r="RFA35" s="229"/>
      <c r="RFB35" s="230"/>
      <c r="RFC35" s="231"/>
      <c r="RFD35" s="232"/>
      <c r="RFE35" s="233"/>
      <c r="RFF35" s="233"/>
      <c r="RFG35" s="233"/>
      <c r="RFH35" s="233"/>
      <c r="RFI35" s="233"/>
      <c r="RFJ35" s="233"/>
      <c r="RFK35" s="231"/>
      <c r="RFL35" s="231"/>
      <c r="RFM35" s="229"/>
      <c r="RFN35" s="230"/>
      <c r="RFO35" s="231"/>
      <c r="RFP35" s="232"/>
      <c r="RFQ35" s="233"/>
      <c r="RFR35" s="233"/>
      <c r="RFS35" s="233"/>
      <c r="RFT35" s="233"/>
      <c r="RFU35" s="233"/>
      <c r="RFV35" s="233"/>
      <c r="RFW35" s="231"/>
      <c r="RFX35" s="231"/>
      <c r="RFY35" s="229"/>
      <c r="RFZ35" s="230"/>
      <c r="RGA35" s="231"/>
      <c r="RGB35" s="232"/>
      <c r="RGC35" s="233"/>
      <c r="RGD35" s="233"/>
      <c r="RGE35" s="233"/>
      <c r="RGF35" s="233"/>
      <c r="RGG35" s="233"/>
      <c r="RGH35" s="233"/>
      <c r="RGI35" s="231"/>
      <c r="RGJ35" s="231"/>
      <c r="RGK35" s="229"/>
      <c r="RGL35" s="230"/>
      <c r="RGM35" s="231"/>
      <c r="RGN35" s="232"/>
      <c r="RGO35" s="233"/>
      <c r="RGP35" s="233"/>
      <c r="RGQ35" s="233"/>
      <c r="RGR35" s="233"/>
      <c r="RGS35" s="233"/>
      <c r="RGT35" s="233"/>
      <c r="RGU35" s="231"/>
      <c r="RGV35" s="231"/>
      <c r="RGW35" s="229"/>
      <c r="RGX35" s="230"/>
      <c r="RGY35" s="231"/>
      <c r="RGZ35" s="232"/>
      <c r="RHA35" s="233"/>
      <c r="RHB35" s="233"/>
      <c r="RHC35" s="233"/>
      <c r="RHD35" s="233"/>
      <c r="RHE35" s="233"/>
      <c r="RHF35" s="233"/>
      <c r="RHG35" s="231"/>
      <c r="RHH35" s="231"/>
      <c r="RHI35" s="229"/>
      <c r="RHJ35" s="230"/>
      <c r="RHK35" s="231"/>
      <c r="RHL35" s="232"/>
      <c r="RHM35" s="233"/>
      <c r="RHN35" s="233"/>
      <c r="RHO35" s="233"/>
      <c r="RHP35" s="233"/>
      <c r="RHQ35" s="233"/>
      <c r="RHR35" s="233"/>
      <c r="RHS35" s="231"/>
      <c r="RHT35" s="231"/>
      <c r="RHU35" s="229"/>
      <c r="RHV35" s="230"/>
      <c r="RHW35" s="231"/>
      <c r="RHX35" s="232"/>
      <c r="RHY35" s="233"/>
      <c r="RHZ35" s="233"/>
      <c r="RIA35" s="233"/>
      <c r="RIB35" s="233"/>
      <c r="RIC35" s="233"/>
      <c r="RID35" s="233"/>
      <c r="RIE35" s="231"/>
      <c r="RIF35" s="231"/>
      <c r="RIG35" s="229"/>
      <c r="RIH35" s="230"/>
      <c r="RII35" s="231"/>
      <c r="RIJ35" s="232"/>
      <c r="RIK35" s="233"/>
      <c r="RIL35" s="233"/>
      <c r="RIM35" s="233"/>
      <c r="RIN35" s="233"/>
      <c r="RIO35" s="233"/>
      <c r="RIP35" s="233"/>
      <c r="RIQ35" s="231"/>
      <c r="RIR35" s="231"/>
      <c r="RIS35" s="229"/>
      <c r="RIT35" s="230"/>
      <c r="RIU35" s="231"/>
      <c r="RIV35" s="232"/>
      <c r="RIW35" s="233"/>
      <c r="RIX35" s="233"/>
      <c r="RIY35" s="233"/>
      <c r="RIZ35" s="233"/>
      <c r="RJA35" s="233"/>
      <c r="RJB35" s="233"/>
      <c r="RJC35" s="231"/>
      <c r="RJD35" s="231"/>
      <c r="RJE35" s="229"/>
      <c r="RJF35" s="230"/>
      <c r="RJG35" s="231"/>
      <c r="RJH35" s="232"/>
      <c r="RJI35" s="233"/>
      <c r="RJJ35" s="233"/>
      <c r="RJK35" s="233"/>
      <c r="RJL35" s="233"/>
      <c r="RJM35" s="233"/>
      <c r="RJN35" s="233"/>
      <c r="RJO35" s="231"/>
      <c r="RJP35" s="231"/>
      <c r="RJQ35" s="229"/>
      <c r="RJR35" s="230"/>
      <c r="RJS35" s="231"/>
      <c r="RJT35" s="232"/>
      <c r="RJU35" s="233"/>
      <c r="RJV35" s="233"/>
      <c r="RJW35" s="233"/>
      <c r="RJX35" s="233"/>
      <c r="RJY35" s="233"/>
      <c r="RJZ35" s="233"/>
      <c r="RKA35" s="231"/>
      <c r="RKB35" s="231"/>
      <c r="RKC35" s="229"/>
      <c r="RKD35" s="230"/>
      <c r="RKE35" s="231"/>
      <c r="RKF35" s="232"/>
      <c r="RKG35" s="233"/>
      <c r="RKH35" s="233"/>
      <c r="RKI35" s="233"/>
      <c r="RKJ35" s="233"/>
      <c r="RKK35" s="233"/>
      <c r="RKL35" s="233"/>
      <c r="RKM35" s="231"/>
      <c r="RKN35" s="231"/>
      <c r="RKO35" s="229"/>
      <c r="RKP35" s="230"/>
      <c r="RKQ35" s="231"/>
      <c r="RKR35" s="232"/>
      <c r="RKS35" s="233"/>
      <c r="RKT35" s="233"/>
      <c r="RKU35" s="233"/>
      <c r="RKV35" s="233"/>
      <c r="RKW35" s="233"/>
      <c r="RKX35" s="233"/>
      <c r="RKY35" s="231"/>
      <c r="RKZ35" s="231"/>
      <c r="RLA35" s="229"/>
      <c r="RLB35" s="230"/>
      <c r="RLC35" s="231"/>
      <c r="RLD35" s="232"/>
      <c r="RLE35" s="233"/>
      <c r="RLF35" s="233"/>
      <c r="RLG35" s="233"/>
      <c r="RLH35" s="233"/>
      <c r="RLI35" s="233"/>
      <c r="RLJ35" s="233"/>
      <c r="RLK35" s="231"/>
      <c r="RLL35" s="231"/>
      <c r="RLM35" s="229"/>
      <c r="RLN35" s="230"/>
      <c r="RLO35" s="231"/>
      <c r="RLP35" s="232"/>
      <c r="RLQ35" s="233"/>
      <c r="RLR35" s="233"/>
      <c r="RLS35" s="233"/>
      <c r="RLT35" s="233"/>
      <c r="RLU35" s="233"/>
      <c r="RLV35" s="233"/>
      <c r="RLW35" s="231"/>
      <c r="RLX35" s="231"/>
      <c r="RLY35" s="229"/>
      <c r="RLZ35" s="230"/>
      <c r="RMA35" s="231"/>
      <c r="RMB35" s="232"/>
      <c r="RMC35" s="233"/>
      <c r="RMD35" s="233"/>
      <c r="RME35" s="233"/>
      <c r="RMF35" s="233"/>
      <c r="RMG35" s="233"/>
      <c r="RMH35" s="233"/>
      <c r="RMI35" s="231"/>
      <c r="RMJ35" s="231"/>
      <c r="RMK35" s="229"/>
      <c r="RML35" s="230"/>
      <c r="RMM35" s="231"/>
      <c r="RMN35" s="232"/>
      <c r="RMO35" s="233"/>
      <c r="RMP35" s="233"/>
      <c r="RMQ35" s="233"/>
      <c r="RMR35" s="233"/>
      <c r="RMS35" s="233"/>
      <c r="RMT35" s="233"/>
      <c r="RMU35" s="231"/>
      <c r="RMV35" s="231"/>
      <c r="RMW35" s="229"/>
      <c r="RMX35" s="230"/>
      <c r="RMY35" s="231"/>
      <c r="RMZ35" s="232"/>
      <c r="RNA35" s="233"/>
      <c r="RNB35" s="233"/>
      <c r="RNC35" s="233"/>
      <c r="RND35" s="233"/>
      <c r="RNE35" s="233"/>
      <c r="RNF35" s="233"/>
      <c r="RNG35" s="231"/>
      <c r="RNH35" s="231"/>
      <c r="RNI35" s="229"/>
      <c r="RNJ35" s="230"/>
      <c r="RNK35" s="231"/>
      <c r="RNL35" s="232"/>
      <c r="RNM35" s="233"/>
      <c r="RNN35" s="233"/>
      <c r="RNO35" s="233"/>
      <c r="RNP35" s="233"/>
      <c r="RNQ35" s="233"/>
      <c r="RNR35" s="233"/>
      <c r="RNS35" s="231"/>
      <c r="RNT35" s="231"/>
      <c r="RNU35" s="229"/>
      <c r="RNV35" s="230"/>
      <c r="RNW35" s="231"/>
      <c r="RNX35" s="232"/>
      <c r="RNY35" s="233"/>
      <c r="RNZ35" s="233"/>
      <c r="ROA35" s="233"/>
      <c r="ROB35" s="233"/>
      <c r="ROC35" s="233"/>
      <c r="ROD35" s="233"/>
      <c r="ROE35" s="231"/>
      <c r="ROF35" s="231"/>
      <c r="ROG35" s="229"/>
      <c r="ROH35" s="230"/>
      <c r="ROI35" s="231"/>
      <c r="ROJ35" s="232"/>
      <c r="ROK35" s="233"/>
      <c r="ROL35" s="233"/>
      <c r="ROM35" s="233"/>
      <c r="RON35" s="233"/>
      <c r="ROO35" s="233"/>
      <c r="ROP35" s="233"/>
      <c r="ROQ35" s="231"/>
      <c r="ROR35" s="231"/>
      <c r="ROS35" s="229"/>
      <c r="ROT35" s="230"/>
      <c r="ROU35" s="231"/>
      <c r="ROV35" s="232"/>
      <c r="ROW35" s="233"/>
      <c r="ROX35" s="233"/>
      <c r="ROY35" s="233"/>
      <c r="ROZ35" s="233"/>
      <c r="RPA35" s="233"/>
      <c r="RPB35" s="233"/>
      <c r="RPC35" s="231"/>
      <c r="RPD35" s="231"/>
      <c r="RPE35" s="229"/>
      <c r="RPF35" s="230"/>
      <c r="RPG35" s="231"/>
      <c r="RPH35" s="232"/>
      <c r="RPI35" s="233"/>
      <c r="RPJ35" s="233"/>
      <c r="RPK35" s="233"/>
      <c r="RPL35" s="233"/>
      <c r="RPM35" s="233"/>
      <c r="RPN35" s="233"/>
      <c r="RPO35" s="231"/>
      <c r="RPP35" s="231"/>
      <c r="RPQ35" s="229"/>
      <c r="RPR35" s="230"/>
      <c r="RPS35" s="231"/>
      <c r="RPT35" s="232"/>
      <c r="RPU35" s="233"/>
      <c r="RPV35" s="233"/>
      <c r="RPW35" s="233"/>
      <c r="RPX35" s="233"/>
      <c r="RPY35" s="233"/>
      <c r="RPZ35" s="233"/>
      <c r="RQA35" s="231"/>
      <c r="RQB35" s="231"/>
      <c r="RQC35" s="229"/>
      <c r="RQD35" s="230"/>
      <c r="RQE35" s="231"/>
      <c r="RQF35" s="232"/>
      <c r="RQG35" s="233"/>
      <c r="RQH35" s="233"/>
      <c r="RQI35" s="233"/>
      <c r="RQJ35" s="233"/>
      <c r="RQK35" s="233"/>
      <c r="RQL35" s="233"/>
      <c r="RQM35" s="231"/>
      <c r="RQN35" s="231"/>
      <c r="RQO35" s="229"/>
      <c r="RQP35" s="230"/>
      <c r="RQQ35" s="231"/>
      <c r="RQR35" s="232"/>
      <c r="RQS35" s="233"/>
      <c r="RQT35" s="233"/>
      <c r="RQU35" s="233"/>
      <c r="RQV35" s="233"/>
      <c r="RQW35" s="233"/>
      <c r="RQX35" s="233"/>
      <c r="RQY35" s="231"/>
      <c r="RQZ35" s="231"/>
      <c r="RRA35" s="229"/>
      <c r="RRB35" s="230"/>
      <c r="RRC35" s="231"/>
      <c r="RRD35" s="232"/>
      <c r="RRE35" s="233"/>
      <c r="RRF35" s="233"/>
      <c r="RRG35" s="233"/>
      <c r="RRH35" s="233"/>
      <c r="RRI35" s="233"/>
      <c r="RRJ35" s="233"/>
      <c r="RRK35" s="231"/>
      <c r="RRL35" s="231"/>
      <c r="RRM35" s="229"/>
      <c r="RRN35" s="230"/>
      <c r="RRO35" s="231"/>
      <c r="RRP35" s="232"/>
      <c r="RRQ35" s="233"/>
      <c r="RRR35" s="233"/>
      <c r="RRS35" s="233"/>
      <c r="RRT35" s="233"/>
      <c r="RRU35" s="233"/>
      <c r="RRV35" s="233"/>
      <c r="RRW35" s="231"/>
      <c r="RRX35" s="231"/>
      <c r="RRY35" s="229"/>
      <c r="RRZ35" s="230"/>
      <c r="RSA35" s="231"/>
      <c r="RSB35" s="232"/>
      <c r="RSC35" s="233"/>
      <c r="RSD35" s="233"/>
      <c r="RSE35" s="233"/>
      <c r="RSF35" s="233"/>
      <c r="RSG35" s="233"/>
      <c r="RSH35" s="233"/>
      <c r="RSI35" s="231"/>
      <c r="RSJ35" s="231"/>
      <c r="RSK35" s="229"/>
      <c r="RSL35" s="230"/>
      <c r="RSM35" s="231"/>
      <c r="RSN35" s="232"/>
      <c r="RSO35" s="233"/>
      <c r="RSP35" s="233"/>
      <c r="RSQ35" s="233"/>
      <c r="RSR35" s="233"/>
      <c r="RSS35" s="233"/>
      <c r="RST35" s="233"/>
      <c r="RSU35" s="231"/>
      <c r="RSV35" s="231"/>
      <c r="RSW35" s="229"/>
      <c r="RSX35" s="230"/>
      <c r="RSY35" s="231"/>
      <c r="RSZ35" s="232"/>
      <c r="RTA35" s="233"/>
      <c r="RTB35" s="233"/>
      <c r="RTC35" s="233"/>
      <c r="RTD35" s="233"/>
      <c r="RTE35" s="233"/>
      <c r="RTF35" s="233"/>
      <c r="RTG35" s="231"/>
      <c r="RTH35" s="231"/>
      <c r="RTI35" s="229"/>
      <c r="RTJ35" s="230"/>
      <c r="RTK35" s="231"/>
      <c r="RTL35" s="232"/>
      <c r="RTM35" s="233"/>
      <c r="RTN35" s="233"/>
      <c r="RTO35" s="233"/>
      <c r="RTP35" s="233"/>
      <c r="RTQ35" s="233"/>
      <c r="RTR35" s="233"/>
      <c r="RTS35" s="231"/>
      <c r="RTT35" s="231"/>
      <c r="RTU35" s="229"/>
      <c r="RTV35" s="230"/>
      <c r="RTW35" s="231"/>
      <c r="RTX35" s="232"/>
      <c r="RTY35" s="233"/>
      <c r="RTZ35" s="233"/>
      <c r="RUA35" s="233"/>
      <c r="RUB35" s="233"/>
      <c r="RUC35" s="233"/>
      <c r="RUD35" s="233"/>
      <c r="RUE35" s="231"/>
      <c r="RUF35" s="231"/>
      <c r="RUG35" s="229"/>
      <c r="RUH35" s="230"/>
      <c r="RUI35" s="231"/>
      <c r="RUJ35" s="232"/>
      <c r="RUK35" s="233"/>
      <c r="RUL35" s="233"/>
      <c r="RUM35" s="233"/>
      <c r="RUN35" s="233"/>
      <c r="RUO35" s="233"/>
      <c r="RUP35" s="233"/>
      <c r="RUQ35" s="231"/>
      <c r="RUR35" s="231"/>
      <c r="RUS35" s="229"/>
      <c r="RUT35" s="230"/>
      <c r="RUU35" s="231"/>
      <c r="RUV35" s="232"/>
      <c r="RUW35" s="233"/>
      <c r="RUX35" s="233"/>
      <c r="RUY35" s="233"/>
      <c r="RUZ35" s="233"/>
      <c r="RVA35" s="233"/>
      <c r="RVB35" s="233"/>
      <c r="RVC35" s="231"/>
      <c r="RVD35" s="231"/>
      <c r="RVE35" s="229"/>
      <c r="RVF35" s="230"/>
      <c r="RVG35" s="231"/>
      <c r="RVH35" s="232"/>
      <c r="RVI35" s="233"/>
      <c r="RVJ35" s="233"/>
      <c r="RVK35" s="233"/>
      <c r="RVL35" s="233"/>
      <c r="RVM35" s="233"/>
      <c r="RVN35" s="233"/>
      <c r="RVO35" s="231"/>
      <c r="RVP35" s="231"/>
      <c r="RVQ35" s="229"/>
      <c r="RVR35" s="230"/>
      <c r="RVS35" s="231"/>
      <c r="RVT35" s="232"/>
      <c r="RVU35" s="233"/>
      <c r="RVV35" s="233"/>
      <c r="RVW35" s="233"/>
      <c r="RVX35" s="233"/>
      <c r="RVY35" s="233"/>
      <c r="RVZ35" s="233"/>
      <c r="RWA35" s="231"/>
      <c r="RWB35" s="231"/>
      <c r="RWC35" s="229"/>
      <c r="RWD35" s="230"/>
      <c r="RWE35" s="231"/>
      <c r="RWF35" s="232"/>
      <c r="RWG35" s="233"/>
      <c r="RWH35" s="233"/>
      <c r="RWI35" s="233"/>
      <c r="RWJ35" s="233"/>
      <c r="RWK35" s="233"/>
      <c r="RWL35" s="233"/>
      <c r="RWM35" s="231"/>
      <c r="RWN35" s="231"/>
      <c r="RWO35" s="229"/>
      <c r="RWP35" s="230"/>
      <c r="RWQ35" s="231"/>
      <c r="RWR35" s="232"/>
      <c r="RWS35" s="233"/>
      <c r="RWT35" s="233"/>
      <c r="RWU35" s="233"/>
      <c r="RWV35" s="233"/>
      <c r="RWW35" s="233"/>
      <c r="RWX35" s="233"/>
      <c r="RWY35" s="231"/>
      <c r="RWZ35" s="231"/>
      <c r="RXA35" s="229"/>
      <c r="RXB35" s="230"/>
      <c r="RXC35" s="231"/>
      <c r="RXD35" s="232"/>
      <c r="RXE35" s="233"/>
      <c r="RXF35" s="233"/>
      <c r="RXG35" s="233"/>
      <c r="RXH35" s="233"/>
      <c r="RXI35" s="233"/>
      <c r="RXJ35" s="233"/>
      <c r="RXK35" s="231"/>
      <c r="RXL35" s="231"/>
      <c r="RXM35" s="229"/>
      <c r="RXN35" s="230"/>
      <c r="RXO35" s="231"/>
      <c r="RXP35" s="232"/>
      <c r="RXQ35" s="233"/>
      <c r="RXR35" s="233"/>
      <c r="RXS35" s="233"/>
      <c r="RXT35" s="233"/>
      <c r="RXU35" s="233"/>
      <c r="RXV35" s="233"/>
      <c r="RXW35" s="231"/>
      <c r="RXX35" s="231"/>
      <c r="RXY35" s="229"/>
      <c r="RXZ35" s="230"/>
      <c r="RYA35" s="231"/>
      <c r="RYB35" s="232"/>
      <c r="RYC35" s="233"/>
      <c r="RYD35" s="233"/>
      <c r="RYE35" s="233"/>
      <c r="RYF35" s="233"/>
      <c r="RYG35" s="233"/>
      <c r="RYH35" s="233"/>
      <c r="RYI35" s="231"/>
      <c r="RYJ35" s="231"/>
      <c r="RYK35" s="229"/>
      <c r="RYL35" s="230"/>
      <c r="RYM35" s="231"/>
      <c r="RYN35" s="232"/>
      <c r="RYO35" s="233"/>
      <c r="RYP35" s="233"/>
      <c r="RYQ35" s="233"/>
      <c r="RYR35" s="233"/>
      <c r="RYS35" s="233"/>
      <c r="RYT35" s="233"/>
      <c r="RYU35" s="231"/>
      <c r="RYV35" s="231"/>
      <c r="RYW35" s="229"/>
      <c r="RYX35" s="230"/>
      <c r="RYY35" s="231"/>
      <c r="RYZ35" s="232"/>
      <c r="RZA35" s="233"/>
      <c r="RZB35" s="233"/>
      <c r="RZC35" s="233"/>
      <c r="RZD35" s="233"/>
      <c r="RZE35" s="233"/>
      <c r="RZF35" s="233"/>
      <c r="RZG35" s="231"/>
      <c r="RZH35" s="231"/>
      <c r="RZI35" s="229"/>
      <c r="RZJ35" s="230"/>
      <c r="RZK35" s="231"/>
      <c r="RZL35" s="232"/>
      <c r="RZM35" s="233"/>
      <c r="RZN35" s="233"/>
      <c r="RZO35" s="233"/>
      <c r="RZP35" s="233"/>
      <c r="RZQ35" s="233"/>
      <c r="RZR35" s="233"/>
      <c r="RZS35" s="231"/>
      <c r="RZT35" s="231"/>
      <c r="RZU35" s="229"/>
      <c r="RZV35" s="230"/>
      <c r="RZW35" s="231"/>
      <c r="RZX35" s="232"/>
      <c r="RZY35" s="233"/>
      <c r="RZZ35" s="233"/>
      <c r="SAA35" s="233"/>
      <c r="SAB35" s="233"/>
      <c r="SAC35" s="233"/>
      <c r="SAD35" s="233"/>
      <c r="SAE35" s="231"/>
      <c r="SAF35" s="231"/>
      <c r="SAG35" s="229"/>
      <c r="SAH35" s="230"/>
      <c r="SAI35" s="231"/>
      <c r="SAJ35" s="232"/>
      <c r="SAK35" s="233"/>
      <c r="SAL35" s="233"/>
      <c r="SAM35" s="233"/>
      <c r="SAN35" s="233"/>
      <c r="SAO35" s="233"/>
      <c r="SAP35" s="233"/>
      <c r="SAQ35" s="231"/>
      <c r="SAR35" s="231"/>
      <c r="SAS35" s="229"/>
      <c r="SAT35" s="230"/>
      <c r="SAU35" s="231"/>
      <c r="SAV35" s="232"/>
      <c r="SAW35" s="233"/>
      <c r="SAX35" s="233"/>
      <c r="SAY35" s="233"/>
      <c r="SAZ35" s="233"/>
      <c r="SBA35" s="233"/>
      <c r="SBB35" s="233"/>
      <c r="SBC35" s="231"/>
      <c r="SBD35" s="231"/>
      <c r="SBE35" s="229"/>
      <c r="SBF35" s="230"/>
      <c r="SBG35" s="231"/>
      <c r="SBH35" s="232"/>
      <c r="SBI35" s="233"/>
      <c r="SBJ35" s="233"/>
      <c r="SBK35" s="233"/>
      <c r="SBL35" s="233"/>
      <c r="SBM35" s="233"/>
      <c r="SBN35" s="233"/>
      <c r="SBO35" s="231"/>
      <c r="SBP35" s="231"/>
      <c r="SBQ35" s="229"/>
      <c r="SBR35" s="230"/>
      <c r="SBS35" s="231"/>
      <c r="SBT35" s="232"/>
      <c r="SBU35" s="233"/>
      <c r="SBV35" s="233"/>
      <c r="SBW35" s="233"/>
      <c r="SBX35" s="233"/>
      <c r="SBY35" s="233"/>
      <c r="SBZ35" s="233"/>
      <c r="SCA35" s="231"/>
      <c r="SCB35" s="231"/>
      <c r="SCC35" s="229"/>
      <c r="SCD35" s="230"/>
      <c r="SCE35" s="231"/>
      <c r="SCF35" s="232"/>
      <c r="SCG35" s="233"/>
      <c r="SCH35" s="233"/>
      <c r="SCI35" s="233"/>
      <c r="SCJ35" s="233"/>
      <c r="SCK35" s="233"/>
      <c r="SCL35" s="233"/>
      <c r="SCM35" s="231"/>
      <c r="SCN35" s="231"/>
      <c r="SCO35" s="229"/>
      <c r="SCP35" s="230"/>
      <c r="SCQ35" s="231"/>
      <c r="SCR35" s="232"/>
      <c r="SCS35" s="233"/>
      <c r="SCT35" s="233"/>
      <c r="SCU35" s="233"/>
      <c r="SCV35" s="233"/>
      <c r="SCW35" s="233"/>
      <c r="SCX35" s="233"/>
      <c r="SCY35" s="231"/>
      <c r="SCZ35" s="231"/>
      <c r="SDA35" s="229"/>
      <c r="SDB35" s="230"/>
      <c r="SDC35" s="231"/>
      <c r="SDD35" s="232"/>
      <c r="SDE35" s="233"/>
      <c r="SDF35" s="233"/>
      <c r="SDG35" s="233"/>
      <c r="SDH35" s="233"/>
      <c r="SDI35" s="233"/>
      <c r="SDJ35" s="233"/>
      <c r="SDK35" s="231"/>
      <c r="SDL35" s="231"/>
      <c r="SDM35" s="229"/>
      <c r="SDN35" s="230"/>
      <c r="SDO35" s="231"/>
      <c r="SDP35" s="232"/>
      <c r="SDQ35" s="233"/>
      <c r="SDR35" s="233"/>
      <c r="SDS35" s="233"/>
      <c r="SDT35" s="233"/>
      <c r="SDU35" s="233"/>
      <c r="SDV35" s="233"/>
      <c r="SDW35" s="231"/>
      <c r="SDX35" s="231"/>
      <c r="SDY35" s="229"/>
      <c r="SDZ35" s="230"/>
      <c r="SEA35" s="231"/>
      <c r="SEB35" s="232"/>
      <c r="SEC35" s="233"/>
      <c r="SED35" s="233"/>
      <c r="SEE35" s="233"/>
      <c r="SEF35" s="233"/>
      <c r="SEG35" s="233"/>
      <c r="SEH35" s="233"/>
      <c r="SEI35" s="231"/>
      <c r="SEJ35" s="231"/>
      <c r="SEK35" s="229"/>
      <c r="SEL35" s="230"/>
      <c r="SEM35" s="231"/>
      <c r="SEN35" s="232"/>
      <c r="SEO35" s="233"/>
      <c r="SEP35" s="233"/>
      <c r="SEQ35" s="233"/>
      <c r="SER35" s="233"/>
      <c r="SES35" s="233"/>
      <c r="SET35" s="233"/>
      <c r="SEU35" s="231"/>
      <c r="SEV35" s="231"/>
      <c r="SEW35" s="229"/>
      <c r="SEX35" s="230"/>
      <c r="SEY35" s="231"/>
      <c r="SEZ35" s="232"/>
      <c r="SFA35" s="233"/>
      <c r="SFB35" s="233"/>
      <c r="SFC35" s="233"/>
      <c r="SFD35" s="233"/>
      <c r="SFE35" s="233"/>
      <c r="SFF35" s="233"/>
      <c r="SFG35" s="231"/>
      <c r="SFH35" s="231"/>
      <c r="SFI35" s="229"/>
      <c r="SFJ35" s="230"/>
      <c r="SFK35" s="231"/>
      <c r="SFL35" s="232"/>
      <c r="SFM35" s="233"/>
      <c r="SFN35" s="233"/>
      <c r="SFO35" s="233"/>
      <c r="SFP35" s="233"/>
      <c r="SFQ35" s="233"/>
      <c r="SFR35" s="233"/>
      <c r="SFS35" s="231"/>
      <c r="SFT35" s="231"/>
      <c r="SFU35" s="229"/>
      <c r="SFV35" s="230"/>
      <c r="SFW35" s="231"/>
      <c r="SFX35" s="232"/>
      <c r="SFY35" s="233"/>
      <c r="SFZ35" s="233"/>
      <c r="SGA35" s="233"/>
      <c r="SGB35" s="233"/>
      <c r="SGC35" s="233"/>
      <c r="SGD35" s="233"/>
      <c r="SGE35" s="231"/>
      <c r="SGF35" s="231"/>
      <c r="SGG35" s="229"/>
      <c r="SGH35" s="230"/>
      <c r="SGI35" s="231"/>
      <c r="SGJ35" s="232"/>
      <c r="SGK35" s="233"/>
      <c r="SGL35" s="233"/>
      <c r="SGM35" s="233"/>
      <c r="SGN35" s="233"/>
      <c r="SGO35" s="233"/>
      <c r="SGP35" s="233"/>
      <c r="SGQ35" s="231"/>
      <c r="SGR35" s="231"/>
      <c r="SGS35" s="229"/>
      <c r="SGT35" s="230"/>
      <c r="SGU35" s="231"/>
      <c r="SGV35" s="232"/>
      <c r="SGW35" s="233"/>
      <c r="SGX35" s="233"/>
      <c r="SGY35" s="233"/>
      <c r="SGZ35" s="233"/>
      <c r="SHA35" s="233"/>
      <c r="SHB35" s="233"/>
      <c r="SHC35" s="231"/>
      <c r="SHD35" s="231"/>
      <c r="SHE35" s="229"/>
      <c r="SHF35" s="230"/>
      <c r="SHG35" s="231"/>
      <c r="SHH35" s="232"/>
      <c r="SHI35" s="233"/>
      <c r="SHJ35" s="233"/>
      <c r="SHK35" s="233"/>
      <c r="SHL35" s="233"/>
      <c r="SHM35" s="233"/>
      <c r="SHN35" s="233"/>
      <c r="SHO35" s="231"/>
      <c r="SHP35" s="231"/>
      <c r="SHQ35" s="229"/>
      <c r="SHR35" s="230"/>
      <c r="SHS35" s="231"/>
      <c r="SHT35" s="232"/>
      <c r="SHU35" s="233"/>
      <c r="SHV35" s="233"/>
      <c r="SHW35" s="233"/>
      <c r="SHX35" s="233"/>
      <c r="SHY35" s="233"/>
      <c r="SHZ35" s="233"/>
      <c r="SIA35" s="231"/>
      <c r="SIB35" s="231"/>
      <c r="SIC35" s="229"/>
      <c r="SID35" s="230"/>
      <c r="SIE35" s="231"/>
      <c r="SIF35" s="232"/>
      <c r="SIG35" s="233"/>
      <c r="SIH35" s="233"/>
      <c r="SII35" s="233"/>
      <c r="SIJ35" s="233"/>
      <c r="SIK35" s="233"/>
      <c r="SIL35" s="233"/>
      <c r="SIM35" s="231"/>
      <c r="SIN35" s="231"/>
      <c r="SIO35" s="229"/>
      <c r="SIP35" s="230"/>
      <c r="SIQ35" s="231"/>
      <c r="SIR35" s="232"/>
      <c r="SIS35" s="233"/>
      <c r="SIT35" s="233"/>
      <c r="SIU35" s="233"/>
      <c r="SIV35" s="233"/>
      <c r="SIW35" s="233"/>
      <c r="SIX35" s="233"/>
      <c r="SIY35" s="231"/>
      <c r="SIZ35" s="231"/>
      <c r="SJA35" s="229"/>
      <c r="SJB35" s="230"/>
      <c r="SJC35" s="231"/>
      <c r="SJD35" s="232"/>
      <c r="SJE35" s="233"/>
      <c r="SJF35" s="233"/>
      <c r="SJG35" s="233"/>
      <c r="SJH35" s="233"/>
      <c r="SJI35" s="233"/>
      <c r="SJJ35" s="233"/>
      <c r="SJK35" s="231"/>
      <c r="SJL35" s="231"/>
      <c r="SJM35" s="229"/>
      <c r="SJN35" s="230"/>
      <c r="SJO35" s="231"/>
      <c r="SJP35" s="232"/>
      <c r="SJQ35" s="233"/>
      <c r="SJR35" s="233"/>
      <c r="SJS35" s="233"/>
      <c r="SJT35" s="233"/>
      <c r="SJU35" s="233"/>
      <c r="SJV35" s="233"/>
      <c r="SJW35" s="231"/>
      <c r="SJX35" s="231"/>
      <c r="SJY35" s="229"/>
      <c r="SJZ35" s="230"/>
      <c r="SKA35" s="231"/>
      <c r="SKB35" s="232"/>
      <c r="SKC35" s="233"/>
      <c r="SKD35" s="233"/>
      <c r="SKE35" s="233"/>
      <c r="SKF35" s="233"/>
      <c r="SKG35" s="233"/>
      <c r="SKH35" s="233"/>
      <c r="SKI35" s="231"/>
      <c r="SKJ35" s="231"/>
      <c r="SKK35" s="229"/>
      <c r="SKL35" s="230"/>
      <c r="SKM35" s="231"/>
      <c r="SKN35" s="232"/>
      <c r="SKO35" s="233"/>
      <c r="SKP35" s="233"/>
      <c r="SKQ35" s="233"/>
      <c r="SKR35" s="233"/>
      <c r="SKS35" s="233"/>
      <c r="SKT35" s="233"/>
      <c r="SKU35" s="231"/>
      <c r="SKV35" s="231"/>
      <c r="SKW35" s="229"/>
      <c r="SKX35" s="230"/>
      <c r="SKY35" s="231"/>
      <c r="SKZ35" s="232"/>
      <c r="SLA35" s="233"/>
      <c r="SLB35" s="233"/>
      <c r="SLC35" s="233"/>
      <c r="SLD35" s="233"/>
      <c r="SLE35" s="233"/>
      <c r="SLF35" s="233"/>
      <c r="SLG35" s="231"/>
      <c r="SLH35" s="231"/>
      <c r="SLI35" s="229"/>
      <c r="SLJ35" s="230"/>
      <c r="SLK35" s="231"/>
      <c r="SLL35" s="232"/>
      <c r="SLM35" s="233"/>
      <c r="SLN35" s="233"/>
      <c r="SLO35" s="233"/>
      <c r="SLP35" s="233"/>
      <c r="SLQ35" s="233"/>
      <c r="SLR35" s="233"/>
      <c r="SLS35" s="231"/>
      <c r="SLT35" s="231"/>
      <c r="SLU35" s="229"/>
      <c r="SLV35" s="230"/>
      <c r="SLW35" s="231"/>
      <c r="SLX35" s="232"/>
      <c r="SLY35" s="233"/>
      <c r="SLZ35" s="233"/>
      <c r="SMA35" s="233"/>
      <c r="SMB35" s="233"/>
      <c r="SMC35" s="233"/>
      <c r="SMD35" s="233"/>
      <c r="SME35" s="231"/>
      <c r="SMF35" s="231"/>
      <c r="SMG35" s="229"/>
      <c r="SMH35" s="230"/>
      <c r="SMI35" s="231"/>
      <c r="SMJ35" s="232"/>
      <c r="SMK35" s="233"/>
      <c r="SML35" s="233"/>
      <c r="SMM35" s="233"/>
      <c r="SMN35" s="233"/>
      <c r="SMO35" s="233"/>
      <c r="SMP35" s="233"/>
      <c r="SMQ35" s="231"/>
      <c r="SMR35" s="231"/>
      <c r="SMS35" s="229"/>
      <c r="SMT35" s="230"/>
      <c r="SMU35" s="231"/>
      <c r="SMV35" s="232"/>
      <c r="SMW35" s="233"/>
      <c r="SMX35" s="233"/>
      <c r="SMY35" s="233"/>
      <c r="SMZ35" s="233"/>
      <c r="SNA35" s="233"/>
      <c r="SNB35" s="233"/>
      <c r="SNC35" s="231"/>
      <c r="SND35" s="231"/>
      <c r="SNE35" s="229"/>
      <c r="SNF35" s="230"/>
      <c r="SNG35" s="231"/>
      <c r="SNH35" s="232"/>
      <c r="SNI35" s="233"/>
      <c r="SNJ35" s="233"/>
      <c r="SNK35" s="233"/>
      <c r="SNL35" s="233"/>
      <c r="SNM35" s="233"/>
      <c r="SNN35" s="233"/>
      <c r="SNO35" s="231"/>
      <c r="SNP35" s="231"/>
      <c r="SNQ35" s="229"/>
      <c r="SNR35" s="230"/>
      <c r="SNS35" s="231"/>
      <c r="SNT35" s="232"/>
      <c r="SNU35" s="233"/>
      <c r="SNV35" s="233"/>
      <c r="SNW35" s="233"/>
      <c r="SNX35" s="233"/>
      <c r="SNY35" s="233"/>
      <c r="SNZ35" s="233"/>
      <c r="SOA35" s="231"/>
      <c r="SOB35" s="231"/>
      <c r="SOC35" s="229"/>
      <c r="SOD35" s="230"/>
      <c r="SOE35" s="231"/>
      <c r="SOF35" s="232"/>
      <c r="SOG35" s="233"/>
      <c r="SOH35" s="233"/>
      <c r="SOI35" s="233"/>
      <c r="SOJ35" s="233"/>
      <c r="SOK35" s="233"/>
      <c r="SOL35" s="233"/>
      <c r="SOM35" s="231"/>
      <c r="SON35" s="231"/>
      <c r="SOO35" s="229"/>
      <c r="SOP35" s="230"/>
      <c r="SOQ35" s="231"/>
      <c r="SOR35" s="232"/>
      <c r="SOS35" s="233"/>
      <c r="SOT35" s="233"/>
      <c r="SOU35" s="233"/>
      <c r="SOV35" s="233"/>
      <c r="SOW35" s="233"/>
      <c r="SOX35" s="233"/>
      <c r="SOY35" s="231"/>
      <c r="SOZ35" s="231"/>
      <c r="SPA35" s="229"/>
      <c r="SPB35" s="230"/>
      <c r="SPC35" s="231"/>
      <c r="SPD35" s="232"/>
      <c r="SPE35" s="233"/>
      <c r="SPF35" s="233"/>
      <c r="SPG35" s="233"/>
      <c r="SPH35" s="233"/>
      <c r="SPI35" s="233"/>
      <c r="SPJ35" s="233"/>
      <c r="SPK35" s="231"/>
      <c r="SPL35" s="231"/>
      <c r="SPM35" s="229"/>
      <c r="SPN35" s="230"/>
      <c r="SPO35" s="231"/>
      <c r="SPP35" s="232"/>
      <c r="SPQ35" s="233"/>
      <c r="SPR35" s="233"/>
      <c r="SPS35" s="233"/>
      <c r="SPT35" s="233"/>
      <c r="SPU35" s="233"/>
      <c r="SPV35" s="233"/>
      <c r="SPW35" s="231"/>
      <c r="SPX35" s="231"/>
      <c r="SPY35" s="229"/>
      <c r="SPZ35" s="230"/>
      <c r="SQA35" s="231"/>
      <c r="SQB35" s="232"/>
      <c r="SQC35" s="233"/>
      <c r="SQD35" s="233"/>
      <c r="SQE35" s="233"/>
      <c r="SQF35" s="233"/>
      <c r="SQG35" s="233"/>
      <c r="SQH35" s="233"/>
      <c r="SQI35" s="231"/>
      <c r="SQJ35" s="231"/>
      <c r="SQK35" s="229"/>
      <c r="SQL35" s="230"/>
      <c r="SQM35" s="231"/>
      <c r="SQN35" s="232"/>
      <c r="SQO35" s="233"/>
      <c r="SQP35" s="233"/>
      <c r="SQQ35" s="233"/>
      <c r="SQR35" s="233"/>
      <c r="SQS35" s="233"/>
      <c r="SQT35" s="233"/>
      <c r="SQU35" s="231"/>
      <c r="SQV35" s="231"/>
      <c r="SQW35" s="229"/>
      <c r="SQX35" s="230"/>
      <c r="SQY35" s="231"/>
      <c r="SQZ35" s="232"/>
      <c r="SRA35" s="233"/>
      <c r="SRB35" s="233"/>
      <c r="SRC35" s="233"/>
      <c r="SRD35" s="233"/>
      <c r="SRE35" s="233"/>
      <c r="SRF35" s="233"/>
      <c r="SRG35" s="231"/>
      <c r="SRH35" s="231"/>
      <c r="SRI35" s="229"/>
      <c r="SRJ35" s="230"/>
      <c r="SRK35" s="231"/>
      <c r="SRL35" s="232"/>
      <c r="SRM35" s="233"/>
      <c r="SRN35" s="233"/>
      <c r="SRO35" s="233"/>
      <c r="SRP35" s="233"/>
      <c r="SRQ35" s="233"/>
      <c r="SRR35" s="233"/>
      <c r="SRS35" s="231"/>
      <c r="SRT35" s="231"/>
      <c r="SRU35" s="229"/>
      <c r="SRV35" s="230"/>
      <c r="SRW35" s="231"/>
      <c r="SRX35" s="232"/>
      <c r="SRY35" s="233"/>
      <c r="SRZ35" s="233"/>
      <c r="SSA35" s="233"/>
      <c r="SSB35" s="233"/>
      <c r="SSC35" s="233"/>
      <c r="SSD35" s="233"/>
      <c r="SSE35" s="231"/>
      <c r="SSF35" s="231"/>
      <c r="SSG35" s="229"/>
      <c r="SSH35" s="230"/>
      <c r="SSI35" s="231"/>
      <c r="SSJ35" s="232"/>
      <c r="SSK35" s="233"/>
      <c r="SSL35" s="233"/>
      <c r="SSM35" s="233"/>
      <c r="SSN35" s="233"/>
      <c r="SSO35" s="233"/>
      <c r="SSP35" s="233"/>
      <c r="SSQ35" s="231"/>
      <c r="SSR35" s="231"/>
      <c r="SSS35" s="229"/>
      <c r="SST35" s="230"/>
      <c r="SSU35" s="231"/>
      <c r="SSV35" s="232"/>
      <c r="SSW35" s="233"/>
      <c r="SSX35" s="233"/>
      <c r="SSY35" s="233"/>
      <c r="SSZ35" s="233"/>
      <c r="STA35" s="233"/>
      <c r="STB35" s="233"/>
      <c r="STC35" s="231"/>
      <c r="STD35" s="231"/>
      <c r="STE35" s="229"/>
      <c r="STF35" s="230"/>
      <c r="STG35" s="231"/>
      <c r="STH35" s="232"/>
      <c r="STI35" s="233"/>
      <c r="STJ35" s="233"/>
      <c r="STK35" s="233"/>
      <c r="STL35" s="233"/>
      <c r="STM35" s="233"/>
      <c r="STN35" s="233"/>
      <c r="STO35" s="231"/>
      <c r="STP35" s="231"/>
      <c r="STQ35" s="229"/>
      <c r="STR35" s="230"/>
      <c r="STS35" s="231"/>
      <c r="STT35" s="232"/>
      <c r="STU35" s="233"/>
      <c r="STV35" s="233"/>
      <c r="STW35" s="233"/>
      <c r="STX35" s="233"/>
      <c r="STY35" s="233"/>
      <c r="STZ35" s="233"/>
      <c r="SUA35" s="231"/>
      <c r="SUB35" s="231"/>
      <c r="SUC35" s="229"/>
      <c r="SUD35" s="230"/>
      <c r="SUE35" s="231"/>
      <c r="SUF35" s="232"/>
      <c r="SUG35" s="233"/>
      <c r="SUH35" s="233"/>
      <c r="SUI35" s="233"/>
      <c r="SUJ35" s="233"/>
      <c r="SUK35" s="233"/>
      <c r="SUL35" s="233"/>
      <c r="SUM35" s="231"/>
      <c r="SUN35" s="231"/>
      <c r="SUO35" s="229"/>
      <c r="SUP35" s="230"/>
      <c r="SUQ35" s="231"/>
      <c r="SUR35" s="232"/>
      <c r="SUS35" s="233"/>
      <c r="SUT35" s="233"/>
      <c r="SUU35" s="233"/>
      <c r="SUV35" s="233"/>
      <c r="SUW35" s="233"/>
      <c r="SUX35" s="233"/>
      <c r="SUY35" s="231"/>
      <c r="SUZ35" s="231"/>
      <c r="SVA35" s="229"/>
      <c r="SVB35" s="230"/>
      <c r="SVC35" s="231"/>
      <c r="SVD35" s="232"/>
      <c r="SVE35" s="233"/>
      <c r="SVF35" s="233"/>
      <c r="SVG35" s="233"/>
      <c r="SVH35" s="233"/>
      <c r="SVI35" s="233"/>
      <c r="SVJ35" s="233"/>
      <c r="SVK35" s="231"/>
      <c r="SVL35" s="231"/>
      <c r="SVM35" s="229"/>
      <c r="SVN35" s="230"/>
      <c r="SVO35" s="231"/>
      <c r="SVP35" s="232"/>
      <c r="SVQ35" s="233"/>
      <c r="SVR35" s="233"/>
      <c r="SVS35" s="233"/>
      <c r="SVT35" s="233"/>
      <c r="SVU35" s="233"/>
      <c r="SVV35" s="233"/>
      <c r="SVW35" s="231"/>
      <c r="SVX35" s="231"/>
      <c r="SVY35" s="229"/>
      <c r="SVZ35" s="230"/>
      <c r="SWA35" s="231"/>
      <c r="SWB35" s="232"/>
      <c r="SWC35" s="233"/>
      <c r="SWD35" s="233"/>
      <c r="SWE35" s="233"/>
      <c r="SWF35" s="233"/>
      <c r="SWG35" s="233"/>
      <c r="SWH35" s="233"/>
      <c r="SWI35" s="231"/>
      <c r="SWJ35" s="231"/>
      <c r="SWK35" s="229"/>
      <c r="SWL35" s="230"/>
      <c r="SWM35" s="231"/>
      <c r="SWN35" s="232"/>
      <c r="SWO35" s="233"/>
      <c r="SWP35" s="233"/>
      <c r="SWQ35" s="233"/>
      <c r="SWR35" s="233"/>
      <c r="SWS35" s="233"/>
      <c r="SWT35" s="233"/>
      <c r="SWU35" s="231"/>
      <c r="SWV35" s="231"/>
      <c r="SWW35" s="229"/>
      <c r="SWX35" s="230"/>
      <c r="SWY35" s="231"/>
      <c r="SWZ35" s="232"/>
      <c r="SXA35" s="233"/>
      <c r="SXB35" s="233"/>
      <c r="SXC35" s="233"/>
      <c r="SXD35" s="233"/>
      <c r="SXE35" s="233"/>
      <c r="SXF35" s="233"/>
      <c r="SXG35" s="231"/>
      <c r="SXH35" s="231"/>
      <c r="SXI35" s="229"/>
      <c r="SXJ35" s="230"/>
      <c r="SXK35" s="231"/>
      <c r="SXL35" s="232"/>
      <c r="SXM35" s="233"/>
      <c r="SXN35" s="233"/>
      <c r="SXO35" s="233"/>
      <c r="SXP35" s="233"/>
      <c r="SXQ35" s="233"/>
      <c r="SXR35" s="233"/>
      <c r="SXS35" s="231"/>
      <c r="SXT35" s="231"/>
      <c r="SXU35" s="229"/>
      <c r="SXV35" s="230"/>
      <c r="SXW35" s="231"/>
      <c r="SXX35" s="232"/>
      <c r="SXY35" s="233"/>
      <c r="SXZ35" s="233"/>
      <c r="SYA35" s="233"/>
      <c r="SYB35" s="233"/>
      <c r="SYC35" s="233"/>
      <c r="SYD35" s="233"/>
      <c r="SYE35" s="231"/>
      <c r="SYF35" s="231"/>
      <c r="SYG35" s="229"/>
      <c r="SYH35" s="230"/>
      <c r="SYI35" s="231"/>
      <c r="SYJ35" s="232"/>
      <c r="SYK35" s="233"/>
      <c r="SYL35" s="233"/>
      <c r="SYM35" s="233"/>
      <c r="SYN35" s="233"/>
      <c r="SYO35" s="233"/>
      <c r="SYP35" s="233"/>
      <c r="SYQ35" s="231"/>
      <c r="SYR35" s="231"/>
      <c r="SYS35" s="229"/>
      <c r="SYT35" s="230"/>
      <c r="SYU35" s="231"/>
      <c r="SYV35" s="232"/>
      <c r="SYW35" s="233"/>
      <c r="SYX35" s="233"/>
      <c r="SYY35" s="233"/>
      <c r="SYZ35" s="233"/>
      <c r="SZA35" s="233"/>
      <c r="SZB35" s="233"/>
      <c r="SZC35" s="231"/>
      <c r="SZD35" s="231"/>
      <c r="SZE35" s="229"/>
      <c r="SZF35" s="230"/>
      <c r="SZG35" s="231"/>
      <c r="SZH35" s="232"/>
      <c r="SZI35" s="233"/>
      <c r="SZJ35" s="233"/>
      <c r="SZK35" s="233"/>
      <c r="SZL35" s="233"/>
      <c r="SZM35" s="233"/>
      <c r="SZN35" s="233"/>
      <c r="SZO35" s="231"/>
      <c r="SZP35" s="231"/>
      <c r="SZQ35" s="229"/>
      <c r="SZR35" s="230"/>
      <c r="SZS35" s="231"/>
      <c r="SZT35" s="232"/>
      <c r="SZU35" s="233"/>
      <c r="SZV35" s="233"/>
      <c r="SZW35" s="233"/>
      <c r="SZX35" s="233"/>
      <c r="SZY35" s="233"/>
      <c r="SZZ35" s="233"/>
      <c r="TAA35" s="231"/>
      <c r="TAB35" s="231"/>
      <c r="TAC35" s="229"/>
      <c r="TAD35" s="230"/>
      <c r="TAE35" s="231"/>
      <c r="TAF35" s="232"/>
      <c r="TAG35" s="233"/>
      <c r="TAH35" s="233"/>
      <c r="TAI35" s="233"/>
      <c r="TAJ35" s="233"/>
      <c r="TAK35" s="233"/>
      <c r="TAL35" s="233"/>
      <c r="TAM35" s="231"/>
      <c r="TAN35" s="231"/>
      <c r="TAO35" s="229"/>
      <c r="TAP35" s="230"/>
      <c r="TAQ35" s="231"/>
      <c r="TAR35" s="232"/>
      <c r="TAS35" s="233"/>
      <c r="TAT35" s="233"/>
      <c r="TAU35" s="233"/>
      <c r="TAV35" s="233"/>
      <c r="TAW35" s="233"/>
      <c r="TAX35" s="233"/>
      <c r="TAY35" s="231"/>
      <c r="TAZ35" s="231"/>
      <c r="TBA35" s="229"/>
      <c r="TBB35" s="230"/>
      <c r="TBC35" s="231"/>
      <c r="TBD35" s="232"/>
      <c r="TBE35" s="233"/>
      <c r="TBF35" s="233"/>
      <c r="TBG35" s="233"/>
      <c r="TBH35" s="233"/>
      <c r="TBI35" s="233"/>
      <c r="TBJ35" s="233"/>
      <c r="TBK35" s="231"/>
      <c r="TBL35" s="231"/>
      <c r="TBM35" s="229"/>
      <c r="TBN35" s="230"/>
      <c r="TBO35" s="231"/>
      <c r="TBP35" s="232"/>
      <c r="TBQ35" s="233"/>
      <c r="TBR35" s="233"/>
      <c r="TBS35" s="233"/>
      <c r="TBT35" s="233"/>
      <c r="TBU35" s="233"/>
      <c r="TBV35" s="233"/>
      <c r="TBW35" s="231"/>
      <c r="TBX35" s="231"/>
      <c r="TBY35" s="229"/>
      <c r="TBZ35" s="230"/>
      <c r="TCA35" s="231"/>
      <c r="TCB35" s="232"/>
      <c r="TCC35" s="233"/>
      <c r="TCD35" s="233"/>
      <c r="TCE35" s="233"/>
      <c r="TCF35" s="233"/>
      <c r="TCG35" s="233"/>
      <c r="TCH35" s="233"/>
      <c r="TCI35" s="231"/>
      <c r="TCJ35" s="231"/>
      <c r="TCK35" s="229"/>
      <c r="TCL35" s="230"/>
      <c r="TCM35" s="231"/>
      <c r="TCN35" s="232"/>
      <c r="TCO35" s="233"/>
      <c r="TCP35" s="233"/>
      <c r="TCQ35" s="233"/>
      <c r="TCR35" s="233"/>
      <c r="TCS35" s="233"/>
      <c r="TCT35" s="233"/>
      <c r="TCU35" s="231"/>
      <c r="TCV35" s="231"/>
      <c r="TCW35" s="229"/>
      <c r="TCX35" s="230"/>
      <c r="TCY35" s="231"/>
      <c r="TCZ35" s="232"/>
      <c r="TDA35" s="233"/>
      <c r="TDB35" s="233"/>
      <c r="TDC35" s="233"/>
      <c r="TDD35" s="233"/>
      <c r="TDE35" s="233"/>
      <c r="TDF35" s="233"/>
      <c r="TDG35" s="231"/>
      <c r="TDH35" s="231"/>
      <c r="TDI35" s="229"/>
      <c r="TDJ35" s="230"/>
      <c r="TDK35" s="231"/>
      <c r="TDL35" s="232"/>
      <c r="TDM35" s="233"/>
      <c r="TDN35" s="233"/>
      <c r="TDO35" s="233"/>
      <c r="TDP35" s="233"/>
      <c r="TDQ35" s="233"/>
      <c r="TDR35" s="233"/>
      <c r="TDS35" s="231"/>
      <c r="TDT35" s="231"/>
      <c r="TDU35" s="229"/>
      <c r="TDV35" s="230"/>
      <c r="TDW35" s="231"/>
      <c r="TDX35" s="232"/>
      <c r="TDY35" s="233"/>
      <c r="TDZ35" s="233"/>
      <c r="TEA35" s="233"/>
      <c r="TEB35" s="233"/>
      <c r="TEC35" s="233"/>
      <c r="TED35" s="233"/>
      <c r="TEE35" s="231"/>
      <c r="TEF35" s="231"/>
      <c r="TEG35" s="229"/>
      <c r="TEH35" s="230"/>
      <c r="TEI35" s="231"/>
      <c r="TEJ35" s="232"/>
      <c r="TEK35" s="233"/>
      <c r="TEL35" s="233"/>
      <c r="TEM35" s="233"/>
      <c r="TEN35" s="233"/>
      <c r="TEO35" s="233"/>
      <c r="TEP35" s="233"/>
      <c r="TEQ35" s="231"/>
      <c r="TER35" s="231"/>
      <c r="TES35" s="229"/>
      <c r="TET35" s="230"/>
      <c r="TEU35" s="231"/>
      <c r="TEV35" s="232"/>
      <c r="TEW35" s="233"/>
      <c r="TEX35" s="233"/>
      <c r="TEY35" s="233"/>
      <c r="TEZ35" s="233"/>
      <c r="TFA35" s="233"/>
      <c r="TFB35" s="233"/>
      <c r="TFC35" s="231"/>
      <c r="TFD35" s="231"/>
      <c r="TFE35" s="229"/>
      <c r="TFF35" s="230"/>
      <c r="TFG35" s="231"/>
      <c r="TFH35" s="232"/>
      <c r="TFI35" s="233"/>
      <c r="TFJ35" s="233"/>
      <c r="TFK35" s="233"/>
      <c r="TFL35" s="233"/>
      <c r="TFM35" s="233"/>
      <c r="TFN35" s="233"/>
      <c r="TFO35" s="231"/>
      <c r="TFP35" s="231"/>
      <c r="TFQ35" s="229"/>
      <c r="TFR35" s="230"/>
      <c r="TFS35" s="231"/>
      <c r="TFT35" s="232"/>
      <c r="TFU35" s="233"/>
      <c r="TFV35" s="233"/>
      <c r="TFW35" s="233"/>
      <c r="TFX35" s="233"/>
      <c r="TFY35" s="233"/>
      <c r="TFZ35" s="233"/>
      <c r="TGA35" s="231"/>
      <c r="TGB35" s="231"/>
      <c r="TGC35" s="229"/>
      <c r="TGD35" s="230"/>
      <c r="TGE35" s="231"/>
      <c r="TGF35" s="232"/>
      <c r="TGG35" s="233"/>
      <c r="TGH35" s="233"/>
      <c r="TGI35" s="233"/>
      <c r="TGJ35" s="233"/>
      <c r="TGK35" s="233"/>
      <c r="TGL35" s="233"/>
      <c r="TGM35" s="231"/>
      <c r="TGN35" s="231"/>
      <c r="TGO35" s="229"/>
      <c r="TGP35" s="230"/>
      <c r="TGQ35" s="231"/>
      <c r="TGR35" s="232"/>
      <c r="TGS35" s="233"/>
      <c r="TGT35" s="233"/>
      <c r="TGU35" s="233"/>
      <c r="TGV35" s="233"/>
      <c r="TGW35" s="233"/>
      <c r="TGX35" s="233"/>
      <c r="TGY35" s="231"/>
      <c r="TGZ35" s="231"/>
      <c r="THA35" s="229"/>
      <c r="THB35" s="230"/>
      <c r="THC35" s="231"/>
      <c r="THD35" s="232"/>
      <c r="THE35" s="233"/>
      <c r="THF35" s="233"/>
      <c r="THG35" s="233"/>
      <c r="THH35" s="233"/>
      <c r="THI35" s="233"/>
      <c r="THJ35" s="233"/>
      <c r="THK35" s="231"/>
      <c r="THL35" s="231"/>
      <c r="THM35" s="229"/>
      <c r="THN35" s="230"/>
      <c r="THO35" s="231"/>
      <c r="THP35" s="232"/>
      <c r="THQ35" s="233"/>
      <c r="THR35" s="233"/>
      <c r="THS35" s="233"/>
      <c r="THT35" s="233"/>
      <c r="THU35" s="233"/>
      <c r="THV35" s="233"/>
      <c r="THW35" s="231"/>
      <c r="THX35" s="231"/>
      <c r="THY35" s="229"/>
      <c r="THZ35" s="230"/>
      <c r="TIA35" s="231"/>
      <c r="TIB35" s="232"/>
      <c r="TIC35" s="233"/>
      <c r="TID35" s="233"/>
      <c r="TIE35" s="233"/>
      <c r="TIF35" s="233"/>
      <c r="TIG35" s="233"/>
      <c r="TIH35" s="233"/>
      <c r="TII35" s="231"/>
      <c r="TIJ35" s="231"/>
      <c r="TIK35" s="229"/>
      <c r="TIL35" s="230"/>
      <c r="TIM35" s="231"/>
      <c r="TIN35" s="232"/>
      <c r="TIO35" s="233"/>
      <c r="TIP35" s="233"/>
      <c r="TIQ35" s="233"/>
      <c r="TIR35" s="233"/>
      <c r="TIS35" s="233"/>
      <c r="TIT35" s="233"/>
      <c r="TIU35" s="231"/>
      <c r="TIV35" s="231"/>
      <c r="TIW35" s="229"/>
      <c r="TIX35" s="230"/>
      <c r="TIY35" s="231"/>
      <c r="TIZ35" s="232"/>
      <c r="TJA35" s="233"/>
      <c r="TJB35" s="233"/>
      <c r="TJC35" s="233"/>
      <c r="TJD35" s="233"/>
      <c r="TJE35" s="233"/>
      <c r="TJF35" s="233"/>
      <c r="TJG35" s="231"/>
      <c r="TJH35" s="231"/>
      <c r="TJI35" s="229"/>
      <c r="TJJ35" s="230"/>
      <c r="TJK35" s="231"/>
      <c r="TJL35" s="232"/>
      <c r="TJM35" s="233"/>
      <c r="TJN35" s="233"/>
      <c r="TJO35" s="233"/>
      <c r="TJP35" s="233"/>
      <c r="TJQ35" s="233"/>
      <c r="TJR35" s="233"/>
      <c r="TJS35" s="231"/>
      <c r="TJT35" s="231"/>
      <c r="TJU35" s="229"/>
      <c r="TJV35" s="230"/>
      <c r="TJW35" s="231"/>
      <c r="TJX35" s="232"/>
      <c r="TJY35" s="233"/>
      <c r="TJZ35" s="233"/>
      <c r="TKA35" s="233"/>
      <c r="TKB35" s="233"/>
      <c r="TKC35" s="233"/>
      <c r="TKD35" s="233"/>
      <c r="TKE35" s="231"/>
      <c r="TKF35" s="231"/>
      <c r="TKG35" s="229"/>
      <c r="TKH35" s="230"/>
      <c r="TKI35" s="231"/>
      <c r="TKJ35" s="232"/>
      <c r="TKK35" s="233"/>
      <c r="TKL35" s="233"/>
      <c r="TKM35" s="233"/>
      <c r="TKN35" s="233"/>
      <c r="TKO35" s="233"/>
      <c r="TKP35" s="233"/>
      <c r="TKQ35" s="231"/>
      <c r="TKR35" s="231"/>
      <c r="TKS35" s="229"/>
      <c r="TKT35" s="230"/>
      <c r="TKU35" s="231"/>
      <c r="TKV35" s="232"/>
      <c r="TKW35" s="233"/>
      <c r="TKX35" s="233"/>
      <c r="TKY35" s="233"/>
      <c r="TKZ35" s="233"/>
      <c r="TLA35" s="233"/>
      <c r="TLB35" s="233"/>
      <c r="TLC35" s="231"/>
      <c r="TLD35" s="231"/>
      <c r="TLE35" s="229"/>
      <c r="TLF35" s="230"/>
      <c r="TLG35" s="231"/>
      <c r="TLH35" s="232"/>
      <c r="TLI35" s="233"/>
      <c r="TLJ35" s="233"/>
      <c r="TLK35" s="233"/>
      <c r="TLL35" s="233"/>
      <c r="TLM35" s="233"/>
      <c r="TLN35" s="233"/>
      <c r="TLO35" s="231"/>
      <c r="TLP35" s="231"/>
      <c r="TLQ35" s="229"/>
      <c r="TLR35" s="230"/>
      <c r="TLS35" s="231"/>
      <c r="TLT35" s="232"/>
      <c r="TLU35" s="233"/>
      <c r="TLV35" s="233"/>
      <c r="TLW35" s="233"/>
      <c r="TLX35" s="233"/>
      <c r="TLY35" s="233"/>
      <c r="TLZ35" s="233"/>
      <c r="TMA35" s="231"/>
      <c r="TMB35" s="231"/>
      <c r="TMC35" s="229"/>
      <c r="TMD35" s="230"/>
      <c r="TME35" s="231"/>
      <c r="TMF35" s="232"/>
      <c r="TMG35" s="233"/>
      <c r="TMH35" s="233"/>
      <c r="TMI35" s="233"/>
      <c r="TMJ35" s="233"/>
      <c r="TMK35" s="233"/>
      <c r="TML35" s="233"/>
      <c r="TMM35" s="231"/>
      <c r="TMN35" s="231"/>
      <c r="TMO35" s="229"/>
      <c r="TMP35" s="230"/>
      <c r="TMQ35" s="231"/>
      <c r="TMR35" s="232"/>
      <c r="TMS35" s="233"/>
      <c r="TMT35" s="233"/>
      <c r="TMU35" s="233"/>
      <c r="TMV35" s="233"/>
      <c r="TMW35" s="233"/>
      <c r="TMX35" s="233"/>
      <c r="TMY35" s="231"/>
      <c r="TMZ35" s="231"/>
      <c r="TNA35" s="229"/>
      <c r="TNB35" s="230"/>
      <c r="TNC35" s="231"/>
      <c r="TND35" s="232"/>
      <c r="TNE35" s="233"/>
      <c r="TNF35" s="233"/>
      <c r="TNG35" s="233"/>
      <c r="TNH35" s="233"/>
      <c r="TNI35" s="233"/>
      <c r="TNJ35" s="233"/>
      <c r="TNK35" s="231"/>
      <c r="TNL35" s="231"/>
      <c r="TNM35" s="229"/>
      <c r="TNN35" s="230"/>
      <c r="TNO35" s="231"/>
      <c r="TNP35" s="232"/>
      <c r="TNQ35" s="233"/>
      <c r="TNR35" s="233"/>
      <c r="TNS35" s="233"/>
      <c r="TNT35" s="233"/>
      <c r="TNU35" s="233"/>
      <c r="TNV35" s="233"/>
      <c r="TNW35" s="231"/>
      <c r="TNX35" s="231"/>
      <c r="TNY35" s="229"/>
      <c r="TNZ35" s="230"/>
      <c r="TOA35" s="231"/>
      <c r="TOB35" s="232"/>
      <c r="TOC35" s="233"/>
      <c r="TOD35" s="233"/>
      <c r="TOE35" s="233"/>
      <c r="TOF35" s="233"/>
      <c r="TOG35" s="233"/>
      <c r="TOH35" s="233"/>
      <c r="TOI35" s="231"/>
      <c r="TOJ35" s="231"/>
      <c r="TOK35" s="229"/>
      <c r="TOL35" s="230"/>
      <c r="TOM35" s="231"/>
      <c r="TON35" s="232"/>
      <c r="TOO35" s="233"/>
      <c r="TOP35" s="233"/>
      <c r="TOQ35" s="233"/>
      <c r="TOR35" s="233"/>
      <c r="TOS35" s="233"/>
      <c r="TOT35" s="233"/>
      <c r="TOU35" s="231"/>
      <c r="TOV35" s="231"/>
      <c r="TOW35" s="229"/>
      <c r="TOX35" s="230"/>
      <c r="TOY35" s="231"/>
      <c r="TOZ35" s="232"/>
      <c r="TPA35" s="233"/>
      <c r="TPB35" s="233"/>
      <c r="TPC35" s="233"/>
      <c r="TPD35" s="233"/>
      <c r="TPE35" s="233"/>
      <c r="TPF35" s="233"/>
      <c r="TPG35" s="231"/>
      <c r="TPH35" s="231"/>
      <c r="TPI35" s="229"/>
      <c r="TPJ35" s="230"/>
      <c r="TPK35" s="231"/>
      <c r="TPL35" s="232"/>
      <c r="TPM35" s="233"/>
      <c r="TPN35" s="233"/>
      <c r="TPO35" s="233"/>
      <c r="TPP35" s="233"/>
      <c r="TPQ35" s="233"/>
      <c r="TPR35" s="233"/>
      <c r="TPS35" s="231"/>
      <c r="TPT35" s="231"/>
      <c r="TPU35" s="229"/>
      <c r="TPV35" s="230"/>
      <c r="TPW35" s="231"/>
      <c r="TPX35" s="232"/>
      <c r="TPY35" s="233"/>
      <c r="TPZ35" s="233"/>
      <c r="TQA35" s="233"/>
      <c r="TQB35" s="233"/>
      <c r="TQC35" s="233"/>
      <c r="TQD35" s="233"/>
      <c r="TQE35" s="231"/>
      <c r="TQF35" s="231"/>
      <c r="TQG35" s="229"/>
      <c r="TQH35" s="230"/>
      <c r="TQI35" s="231"/>
      <c r="TQJ35" s="232"/>
      <c r="TQK35" s="233"/>
      <c r="TQL35" s="233"/>
      <c r="TQM35" s="233"/>
      <c r="TQN35" s="233"/>
      <c r="TQO35" s="233"/>
      <c r="TQP35" s="233"/>
      <c r="TQQ35" s="231"/>
      <c r="TQR35" s="231"/>
      <c r="TQS35" s="229"/>
      <c r="TQT35" s="230"/>
      <c r="TQU35" s="231"/>
      <c r="TQV35" s="232"/>
      <c r="TQW35" s="233"/>
      <c r="TQX35" s="233"/>
      <c r="TQY35" s="233"/>
      <c r="TQZ35" s="233"/>
      <c r="TRA35" s="233"/>
      <c r="TRB35" s="233"/>
      <c r="TRC35" s="231"/>
      <c r="TRD35" s="231"/>
      <c r="TRE35" s="229"/>
      <c r="TRF35" s="230"/>
      <c r="TRG35" s="231"/>
      <c r="TRH35" s="232"/>
      <c r="TRI35" s="233"/>
      <c r="TRJ35" s="233"/>
      <c r="TRK35" s="233"/>
      <c r="TRL35" s="233"/>
      <c r="TRM35" s="233"/>
      <c r="TRN35" s="233"/>
      <c r="TRO35" s="231"/>
      <c r="TRP35" s="231"/>
      <c r="TRQ35" s="229"/>
      <c r="TRR35" s="230"/>
      <c r="TRS35" s="231"/>
      <c r="TRT35" s="232"/>
      <c r="TRU35" s="233"/>
      <c r="TRV35" s="233"/>
      <c r="TRW35" s="233"/>
      <c r="TRX35" s="233"/>
      <c r="TRY35" s="233"/>
      <c r="TRZ35" s="233"/>
      <c r="TSA35" s="231"/>
      <c r="TSB35" s="231"/>
      <c r="TSC35" s="229"/>
      <c r="TSD35" s="230"/>
      <c r="TSE35" s="231"/>
      <c r="TSF35" s="232"/>
      <c r="TSG35" s="233"/>
      <c r="TSH35" s="233"/>
      <c r="TSI35" s="233"/>
      <c r="TSJ35" s="233"/>
      <c r="TSK35" s="233"/>
      <c r="TSL35" s="233"/>
      <c r="TSM35" s="231"/>
      <c r="TSN35" s="231"/>
      <c r="TSO35" s="229"/>
      <c r="TSP35" s="230"/>
      <c r="TSQ35" s="231"/>
      <c r="TSR35" s="232"/>
      <c r="TSS35" s="233"/>
      <c r="TST35" s="233"/>
      <c r="TSU35" s="233"/>
      <c r="TSV35" s="233"/>
      <c r="TSW35" s="233"/>
      <c r="TSX35" s="233"/>
      <c r="TSY35" s="231"/>
      <c r="TSZ35" s="231"/>
      <c r="TTA35" s="229"/>
      <c r="TTB35" s="230"/>
      <c r="TTC35" s="231"/>
      <c r="TTD35" s="232"/>
      <c r="TTE35" s="233"/>
      <c r="TTF35" s="233"/>
      <c r="TTG35" s="233"/>
      <c r="TTH35" s="233"/>
      <c r="TTI35" s="233"/>
      <c r="TTJ35" s="233"/>
      <c r="TTK35" s="231"/>
      <c r="TTL35" s="231"/>
      <c r="TTM35" s="229"/>
      <c r="TTN35" s="230"/>
      <c r="TTO35" s="231"/>
      <c r="TTP35" s="232"/>
      <c r="TTQ35" s="233"/>
      <c r="TTR35" s="233"/>
      <c r="TTS35" s="233"/>
      <c r="TTT35" s="233"/>
      <c r="TTU35" s="233"/>
      <c r="TTV35" s="233"/>
      <c r="TTW35" s="231"/>
      <c r="TTX35" s="231"/>
      <c r="TTY35" s="229"/>
      <c r="TTZ35" s="230"/>
      <c r="TUA35" s="231"/>
      <c r="TUB35" s="232"/>
      <c r="TUC35" s="233"/>
      <c r="TUD35" s="233"/>
      <c r="TUE35" s="233"/>
      <c r="TUF35" s="233"/>
      <c r="TUG35" s="233"/>
      <c r="TUH35" s="233"/>
      <c r="TUI35" s="231"/>
      <c r="TUJ35" s="231"/>
      <c r="TUK35" s="229"/>
      <c r="TUL35" s="230"/>
      <c r="TUM35" s="231"/>
      <c r="TUN35" s="232"/>
      <c r="TUO35" s="233"/>
      <c r="TUP35" s="233"/>
      <c r="TUQ35" s="233"/>
      <c r="TUR35" s="233"/>
      <c r="TUS35" s="233"/>
      <c r="TUT35" s="233"/>
      <c r="TUU35" s="231"/>
      <c r="TUV35" s="231"/>
      <c r="TUW35" s="229"/>
      <c r="TUX35" s="230"/>
      <c r="TUY35" s="231"/>
      <c r="TUZ35" s="232"/>
      <c r="TVA35" s="233"/>
      <c r="TVB35" s="233"/>
      <c r="TVC35" s="233"/>
      <c r="TVD35" s="233"/>
      <c r="TVE35" s="233"/>
      <c r="TVF35" s="233"/>
      <c r="TVG35" s="231"/>
      <c r="TVH35" s="231"/>
      <c r="TVI35" s="229"/>
      <c r="TVJ35" s="230"/>
      <c r="TVK35" s="231"/>
      <c r="TVL35" s="232"/>
      <c r="TVM35" s="233"/>
      <c r="TVN35" s="233"/>
      <c r="TVO35" s="233"/>
      <c r="TVP35" s="233"/>
      <c r="TVQ35" s="233"/>
      <c r="TVR35" s="233"/>
      <c r="TVS35" s="231"/>
      <c r="TVT35" s="231"/>
      <c r="TVU35" s="229"/>
      <c r="TVV35" s="230"/>
      <c r="TVW35" s="231"/>
      <c r="TVX35" s="232"/>
      <c r="TVY35" s="233"/>
      <c r="TVZ35" s="233"/>
      <c r="TWA35" s="233"/>
      <c r="TWB35" s="233"/>
      <c r="TWC35" s="233"/>
      <c r="TWD35" s="233"/>
      <c r="TWE35" s="231"/>
      <c r="TWF35" s="231"/>
      <c r="TWG35" s="229"/>
      <c r="TWH35" s="230"/>
      <c r="TWI35" s="231"/>
      <c r="TWJ35" s="232"/>
      <c r="TWK35" s="233"/>
      <c r="TWL35" s="233"/>
      <c r="TWM35" s="233"/>
      <c r="TWN35" s="233"/>
      <c r="TWO35" s="233"/>
      <c r="TWP35" s="233"/>
      <c r="TWQ35" s="231"/>
      <c r="TWR35" s="231"/>
      <c r="TWS35" s="229"/>
      <c r="TWT35" s="230"/>
      <c r="TWU35" s="231"/>
      <c r="TWV35" s="232"/>
      <c r="TWW35" s="233"/>
      <c r="TWX35" s="233"/>
      <c r="TWY35" s="233"/>
      <c r="TWZ35" s="233"/>
      <c r="TXA35" s="233"/>
      <c r="TXB35" s="233"/>
      <c r="TXC35" s="231"/>
      <c r="TXD35" s="231"/>
      <c r="TXE35" s="229"/>
      <c r="TXF35" s="230"/>
      <c r="TXG35" s="231"/>
      <c r="TXH35" s="232"/>
      <c r="TXI35" s="233"/>
      <c r="TXJ35" s="233"/>
      <c r="TXK35" s="233"/>
      <c r="TXL35" s="233"/>
      <c r="TXM35" s="233"/>
      <c r="TXN35" s="233"/>
      <c r="TXO35" s="231"/>
      <c r="TXP35" s="231"/>
      <c r="TXQ35" s="229"/>
      <c r="TXR35" s="230"/>
      <c r="TXS35" s="231"/>
      <c r="TXT35" s="232"/>
      <c r="TXU35" s="233"/>
      <c r="TXV35" s="233"/>
      <c r="TXW35" s="233"/>
      <c r="TXX35" s="233"/>
      <c r="TXY35" s="233"/>
      <c r="TXZ35" s="233"/>
      <c r="TYA35" s="231"/>
      <c r="TYB35" s="231"/>
      <c r="TYC35" s="229"/>
      <c r="TYD35" s="230"/>
      <c r="TYE35" s="231"/>
      <c r="TYF35" s="232"/>
      <c r="TYG35" s="233"/>
      <c r="TYH35" s="233"/>
      <c r="TYI35" s="233"/>
      <c r="TYJ35" s="233"/>
      <c r="TYK35" s="233"/>
      <c r="TYL35" s="233"/>
      <c r="TYM35" s="231"/>
      <c r="TYN35" s="231"/>
      <c r="TYO35" s="229"/>
      <c r="TYP35" s="230"/>
      <c r="TYQ35" s="231"/>
      <c r="TYR35" s="232"/>
      <c r="TYS35" s="233"/>
      <c r="TYT35" s="233"/>
      <c r="TYU35" s="233"/>
      <c r="TYV35" s="233"/>
      <c r="TYW35" s="233"/>
      <c r="TYX35" s="233"/>
      <c r="TYY35" s="231"/>
      <c r="TYZ35" s="231"/>
      <c r="TZA35" s="229"/>
      <c r="TZB35" s="230"/>
      <c r="TZC35" s="231"/>
      <c r="TZD35" s="232"/>
      <c r="TZE35" s="233"/>
      <c r="TZF35" s="233"/>
      <c r="TZG35" s="233"/>
      <c r="TZH35" s="233"/>
      <c r="TZI35" s="233"/>
      <c r="TZJ35" s="233"/>
      <c r="TZK35" s="231"/>
      <c r="TZL35" s="231"/>
      <c r="TZM35" s="229"/>
      <c r="TZN35" s="230"/>
      <c r="TZO35" s="231"/>
      <c r="TZP35" s="232"/>
      <c r="TZQ35" s="233"/>
      <c r="TZR35" s="233"/>
      <c r="TZS35" s="233"/>
      <c r="TZT35" s="233"/>
      <c r="TZU35" s="233"/>
      <c r="TZV35" s="233"/>
      <c r="TZW35" s="231"/>
      <c r="TZX35" s="231"/>
      <c r="TZY35" s="229"/>
      <c r="TZZ35" s="230"/>
      <c r="UAA35" s="231"/>
      <c r="UAB35" s="232"/>
      <c r="UAC35" s="233"/>
      <c r="UAD35" s="233"/>
      <c r="UAE35" s="233"/>
      <c r="UAF35" s="233"/>
      <c r="UAG35" s="233"/>
      <c r="UAH35" s="233"/>
      <c r="UAI35" s="231"/>
      <c r="UAJ35" s="231"/>
      <c r="UAK35" s="229"/>
      <c r="UAL35" s="230"/>
      <c r="UAM35" s="231"/>
      <c r="UAN35" s="232"/>
      <c r="UAO35" s="233"/>
      <c r="UAP35" s="233"/>
      <c r="UAQ35" s="233"/>
      <c r="UAR35" s="233"/>
      <c r="UAS35" s="233"/>
      <c r="UAT35" s="233"/>
      <c r="UAU35" s="231"/>
      <c r="UAV35" s="231"/>
      <c r="UAW35" s="229"/>
      <c r="UAX35" s="230"/>
      <c r="UAY35" s="231"/>
      <c r="UAZ35" s="232"/>
      <c r="UBA35" s="233"/>
      <c r="UBB35" s="233"/>
      <c r="UBC35" s="233"/>
      <c r="UBD35" s="233"/>
      <c r="UBE35" s="233"/>
      <c r="UBF35" s="233"/>
      <c r="UBG35" s="231"/>
      <c r="UBH35" s="231"/>
      <c r="UBI35" s="229"/>
      <c r="UBJ35" s="230"/>
      <c r="UBK35" s="231"/>
      <c r="UBL35" s="232"/>
      <c r="UBM35" s="233"/>
      <c r="UBN35" s="233"/>
      <c r="UBO35" s="233"/>
      <c r="UBP35" s="233"/>
      <c r="UBQ35" s="233"/>
      <c r="UBR35" s="233"/>
      <c r="UBS35" s="231"/>
      <c r="UBT35" s="231"/>
      <c r="UBU35" s="229"/>
      <c r="UBV35" s="230"/>
      <c r="UBW35" s="231"/>
      <c r="UBX35" s="232"/>
      <c r="UBY35" s="233"/>
      <c r="UBZ35" s="233"/>
      <c r="UCA35" s="233"/>
      <c r="UCB35" s="233"/>
      <c r="UCC35" s="233"/>
      <c r="UCD35" s="233"/>
      <c r="UCE35" s="231"/>
      <c r="UCF35" s="231"/>
      <c r="UCG35" s="229"/>
      <c r="UCH35" s="230"/>
      <c r="UCI35" s="231"/>
      <c r="UCJ35" s="232"/>
      <c r="UCK35" s="233"/>
      <c r="UCL35" s="233"/>
      <c r="UCM35" s="233"/>
      <c r="UCN35" s="233"/>
      <c r="UCO35" s="233"/>
      <c r="UCP35" s="233"/>
      <c r="UCQ35" s="231"/>
      <c r="UCR35" s="231"/>
      <c r="UCS35" s="229"/>
      <c r="UCT35" s="230"/>
      <c r="UCU35" s="231"/>
      <c r="UCV35" s="232"/>
      <c r="UCW35" s="233"/>
      <c r="UCX35" s="233"/>
      <c r="UCY35" s="233"/>
      <c r="UCZ35" s="233"/>
      <c r="UDA35" s="233"/>
      <c r="UDB35" s="233"/>
      <c r="UDC35" s="231"/>
      <c r="UDD35" s="231"/>
      <c r="UDE35" s="229"/>
      <c r="UDF35" s="230"/>
      <c r="UDG35" s="231"/>
      <c r="UDH35" s="232"/>
      <c r="UDI35" s="233"/>
      <c r="UDJ35" s="233"/>
      <c r="UDK35" s="233"/>
      <c r="UDL35" s="233"/>
      <c r="UDM35" s="233"/>
      <c r="UDN35" s="233"/>
      <c r="UDO35" s="231"/>
      <c r="UDP35" s="231"/>
      <c r="UDQ35" s="229"/>
      <c r="UDR35" s="230"/>
      <c r="UDS35" s="231"/>
      <c r="UDT35" s="232"/>
      <c r="UDU35" s="233"/>
      <c r="UDV35" s="233"/>
      <c r="UDW35" s="233"/>
      <c r="UDX35" s="233"/>
      <c r="UDY35" s="233"/>
      <c r="UDZ35" s="233"/>
      <c r="UEA35" s="231"/>
      <c r="UEB35" s="231"/>
      <c r="UEC35" s="229"/>
      <c r="UED35" s="230"/>
      <c r="UEE35" s="231"/>
      <c r="UEF35" s="232"/>
      <c r="UEG35" s="233"/>
      <c r="UEH35" s="233"/>
      <c r="UEI35" s="233"/>
      <c r="UEJ35" s="233"/>
      <c r="UEK35" s="233"/>
      <c r="UEL35" s="233"/>
      <c r="UEM35" s="231"/>
      <c r="UEN35" s="231"/>
      <c r="UEO35" s="229"/>
      <c r="UEP35" s="230"/>
      <c r="UEQ35" s="231"/>
      <c r="UER35" s="232"/>
      <c r="UES35" s="233"/>
      <c r="UET35" s="233"/>
      <c r="UEU35" s="233"/>
      <c r="UEV35" s="233"/>
      <c r="UEW35" s="233"/>
      <c r="UEX35" s="233"/>
      <c r="UEY35" s="231"/>
      <c r="UEZ35" s="231"/>
      <c r="UFA35" s="229"/>
      <c r="UFB35" s="230"/>
      <c r="UFC35" s="231"/>
      <c r="UFD35" s="232"/>
      <c r="UFE35" s="233"/>
      <c r="UFF35" s="233"/>
      <c r="UFG35" s="233"/>
      <c r="UFH35" s="233"/>
      <c r="UFI35" s="233"/>
      <c r="UFJ35" s="233"/>
      <c r="UFK35" s="231"/>
      <c r="UFL35" s="231"/>
      <c r="UFM35" s="229"/>
      <c r="UFN35" s="230"/>
      <c r="UFO35" s="231"/>
      <c r="UFP35" s="232"/>
      <c r="UFQ35" s="233"/>
      <c r="UFR35" s="233"/>
      <c r="UFS35" s="233"/>
      <c r="UFT35" s="233"/>
      <c r="UFU35" s="233"/>
      <c r="UFV35" s="233"/>
      <c r="UFW35" s="231"/>
      <c r="UFX35" s="231"/>
      <c r="UFY35" s="229"/>
      <c r="UFZ35" s="230"/>
      <c r="UGA35" s="231"/>
      <c r="UGB35" s="232"/>
      <c r="UGC35" s="233"/>
      <c r="UGD35" s="233"/>
      <c r="UGE35" s="233"/>
      <c r="UGF35" s="233"/>
      <c r="UGG35" s="233"/>
      <c r="UGH35" s="233"/>
      <c r="UGI35" s="231"/>
      <c r="UGJ35" s="231"/>
      <c r="UGK35" s="229"/>
      <c r="UGL35" s="230"/>
      <c r="UGM35" s="231"/>
      <c r="UGN35" s="232"/>
      <c r="UGO35" s="233"/>
      <c r="UGP35" s="233"/>
      <c r="UGQ35" s="233"/>
      <c r="UGR35" s="233"/>
      <c r="UGS35" s="233"/>
      <c r="UGT35" s="233"/>
      <c r="UGU35" s="231"/>
      <c r="UGV35" s="231"/>
      <c r="UGW35" s="229"/>
      <c r="UGX35" s="230"/>
      <c r="UGY35" s="231"/>
      <c r="UGZ35" s="232"/>
      <c r="UHA35" s="233"/>
      <c r="UHB35" s="233"/>
      <c r="UHC35" s="233"/>
      <c r="UHD35" s="233"/>
      <c r="UHE35" s="233"/>
      <c r="UHF35" s="233"/>
      <c r="UHG35" s="231"/>
      <c r="UHH35" s="231"/>
      <c r="UHI35" s="229"/>
      <c r="UHJ35" s="230"/>
      <c r="UHK35" s="231"/>
      <c r="UHL35" s="232"/>
      <c r="UHM35" s="233"/>
      <c r="UHN35" s="233"/>
      <c r="UHO35" s="233"/>
      <c r="UHP35" s="233"/>
      <c r="UHQ35" s="233"/>
      <c r="UHR35" s="233"/>
      <c r="UHS35" s="231"/>
      <c r="UHT35" s="231"/>
      <c r="UHU35" s="229"/>
      <c r="UHV35" s="230"/>
      <c r="UHW35" s="231"/>
      <c r="UHX35" s="232"/>
      <c r="UHY35" s="233"/>
      <c r="UHZ35" s="233"/>
      <c r="UIA35" s="233"/>
      <c r="UIB35" s="233"/>
      <c r="UIC35" s="233"/>
      <c r="UID35" s="233"/>
      <c r="UIE35" s="231"/>
      <c r="UIF35" s="231"/>
      <c r="UIG35" s="229"/>
      <c r="UIH35" s="230"/>
      <c r="UII35" s="231"/>
      <c r="UIJ35" s="232"/>
      <c r="UIK35" s="233"/>
      <c r="UIL35" s="233"/>
      <c r="UIM35" s="233"/>
      <c r="UIN35" s="233"/>
      <c r="UIO35" s="233"/>
      <c r="UIP35" s="233"/>
      <c r="UIQ35" s="231"/>
      <c r="UIR35" s="231"/>
      <c r="UIS35" s="229"/>
      <c r="UIT35" s="230"/>
      <c r="UIU35" s="231"/>
      <c r="UIV35" s="232"/>
      <c r="UIW35" s="233"/>
      <c r="UIX35" s="233"/>
      <c r="UIY35" s="233"/>
      <c r="UIZ35" s="233"/>
      <c r="UJA35" s="233"/>
      <c r="UJB35" s="233"/>
      <c r="UJC35" s="231"/>
      <c r="UJD35" s="231"/>
      <c r="UJE35" s="229"/>
      <c r="UJF35" s="230"/>
      <c r="UJG35" s="231"/>
      <c r="UJH35" s="232"/>
      <c r="UJI35" s="233"/>
      <c r="UJJ35" s="233"/>
      <c r="UJK35" s="233"/>
      <c r="UJL35" s="233"/>
      <c r="UJM35" s="233"/>
      <c r="UJN35" s="233"/>
      <c r="UJO35" s="231"/>
      <c r="UJP35" s="231"/>
      <c r="UJQ35" s="229"/>
      <c r="UJR35" s="230"/>
      <c r="UJS35" s="231"/>
      <c r="UJT35" s="232"/>
      <c r="UJU35" s="233"/>
      <c r="UJV35" s="233"/>
      <c r="UJW35" s="233"/>
      <c r="UJX35" s="233"/>
      <c r="UJY35" s="233"/>
      <c r="UJZ35" s="233"/>
      <c r="UKA35" s="231"/>
      <c r="UKB35" s="231"/>
      <c r="UKC35" s="229"/>
      <c r="UKD35" s="230"/>
      <c r="UKE35" s="231"/>
      <c r="UKF35" s="232"/>
      <c r="UKG35" s="233"/>
      <c r="UKH35" s="233"/>
      <c r="UKI35" s="233"/>
      <c r="UKJ35" s="233"/>
      <c r="UKK35" s="233"/>
      <c r="UKL35" s="233"/>
      <c r="UKM35" s="231"/>
      <c r="UKN35" s="231"/>
      <c r="UKO35" s="229"/>
      <c r="UKP35" s="230"/>
      <c r="UKQ35" s="231"/>
      <c r="UKR35" s="232"/>
      <c r="UKS35" s="233"/>
      <c r="UKT35" s="233"/>
      <c r="UKU35" s="233"/>
      <c r="UKV35" s="233"/>
      <c r="UKW35" s="233"/>
      <c r="UKX35" s="233"/>
      <c r="UKY35" s="231"/>
      <c r="UKZ35" s="231"/>
      <c r="ULA35" s="229"/>
      <c r="ULB35" s="230"/>
      <c r="ULC35" s="231"/>
      <c r="ULD35" s="232"/>
      <c r="ULE35" s="233"/>
      <c r="ULF35" s="233"/>
      <c r="ULG35" s="233"/>
      <c r="ULH35" s="233"/>
      <c r="ULI35" s="233"/>
      <c r="ULJ35" s="233"/>
      <c r="ULK35" s="231"/>
      <c r="ULL35" s="231"/>
      <c r="ULM35" s="229"/>
      <c r="ULN35" s="230"/>
      <c r="ULO35" s="231"/>
      <c r="ULP35" s="232"/>
      <c r="ULQ35" s="233"/>
      <c r="ULR35" s="233"/>
      <c r="ULS35" s="233"/>
      <c r="ULT35" s="233"/>
      <c r="ULU35" s="233"/>
      <c r="ULV35" s="233"/>
      <c r="ULW35" s="231"/>
      <c r="ULX35" s="231"/>
      <c r="ULY35" s="229"/>
      <c r="ULZ35" s="230"/>
      <c r="UMA35" s="231"/>
      <c r="UMB35" s="232"/>
      <c r="UMC35" s="233"/>
      <c r="UMD35" s="233"/>
      <c r="UME35" s="233"/>
      <c r="UMF35" s="233"/>
      <c r="UMG35" s="233"/>
      <c r="UMH35" s="233"/>
      <c r="UMI35" s="231"/>
      <c r="UMJ35" s="231"/>
      <c r="UMK35" s="229"/>
      <c r="UML35" s="230"/>
      <c r="UMM35" s="231"/>
      <c r="UMN35" s="232"/>
      <c r="UMO35" s="233"/>
      <c r="UMP35" s="233"/>
      <c r="UMQ35" s="233"/>
      <c r="UMR35" s="233"/>
      <c r="UMS35" s="233"/>
      <c r="UMT35" s="233"/>
      <c r="UMU35" s="231"/>
      <c r="UMV35" s="231"/>
      <c r="UMW35" s="229"/>
      <c r="UMX35" s="230"/>
      <c r="UMY35" s="231"/>
      <c r="UMZ35" s="232"/>
      <c r="UNA35" s="233"/>
      <c r="UNB35" s="233"/>
      <c r="UNC35" s="233"/>
      <c r="UND35" s="233"/>
      <c r="UNE35" s="233"/>
      <c r="UNF35" s="233"/>
      <c r="UNG35" s="231"/>
      <c r="UNH35" s="231"/>
      <c r="UNI35" s="229"/>
      <c r="UNJ35" s="230"/>
      <c r="UNK35" s="231"/>
      <c r="UNL35" s="232"/>
      <c r="UNM35" s="233"/>
      <c r="UNN35" s="233"/>
      <c r="UNO35" s="233"/>
      <c r="UNP35" s="233"/>
      <c r="UNQ35" s="233"/>
      <c r="UNR35" s="233"/>
      <c r="UNS35" s="231"/>
      <c r="UNT35" s="231"/>
      <c r="UNU35" s="229"/>
      <c r="UNV35" s="230"/>
      <c r="UNW35" s="231"/>
      <c r="UNX35" s="232"/>
      <c r="UNY35" s="233"/>
      <c r="UNZ35" s="233"/>
      <c r="UOA35" s="233"/>
      <c r="UOB35" s="233"/>
      <c r="UOC35" s="233"/>
      <c r="UOD35" s="233"/>
      <c r="UOE35" s="231"/>
      <c r="UOF35" s="231"/>
      <c r="UOG35" s="229"/>
      <c r="UOH35" s="230"/>
      <c r="UOI35" s="231"/>
      <c r="UOJ35" s="232"/>
      <c r="UOK35" s="233"/>
      <c r="UOL35" s="233"/>
      <c r="UOM35" s="233"/>
      <c r="UON35" s="233"/>
      <c r="UOO35" s="233"/>
      <c r="UOP35" s="233"/>
      <c r="UOQ35" s="231"/>
      <c r="UOR35" s="231"/>
      <c r="UOS35" s="229"/>
      <c r="UOT35" s="230"/>
      <c r="UOU35" s="231"/>
      <c r="UOV35" s="232"/>
      <c r="UOW35" s="233"/>
      <c r="UOX35" s="233"/>
      <c r="UOY35" s="233"/>
      <c r="UOZ35" s="233"/>
      <c r="UPA35" s="233"/>
      <c r="UPB35" s="233"/>
      <c r="UPC35" s="231"/>
      <c r="UPD35" s="231"/>
      <c r="UPE35" s="229"/>
      <c r="UPF35" s="230"/>
      <c r="UPG35" s="231"/>
      <c r="UPH35" s="232"/>
      <c r="UPI35" s="233"/>
      <c r="UPJ35" s="233"/>
      <c r="UPK35" s="233"/>
      <c r="UPL35" s="233"/>
      <c r="UPM35" s="233"/>
      <c r="UPN35" s="233"/>
      <c r="UPO35" s="231"/>
      <c r="UPP35" s="231"/>
      <c r="UPQ35" s="229"/>
      <c r="UPR35" s="230"/>
      <c r="UPS35" s="231"/>
      <c r="UPT35" s="232"/>
      <c r="UPU35" s="233"/>
      <c r="UPV35" s="233"/>
      <c r="UPW35" s="233"/>
      <c r="UPX35" s="233"/>
      <c r="UPY35" s="233"/>
      <c r="UPZ35" s="233"/>
      <c r="UQA35" s="231"/>
      <c r="UQB35" s="231"/>
      <c r="UQC35" s="229"/>
      <c r="UQD35" s="230"/>
      <c r="UQE35" s="231"/>
      <c r="UQF35" s="232"/>
      <c r="UQG35" s="233"/>
      <c r="UQH35" s="233"/>
      <c r="UQI35" s="233"/>
      <c r="UQJ35" s="233"/>
      <c r="UQK35" s="233"/>
      <c r="UQL35" s="233"/>
      <c r="UQM35" s="231"/>
      <c r="UQN35" s="231"/>
      <c r="UQO35" s="229"/>
      <c r="UQP35" s="230"/>
      <c r="UQQ35" s="231"/>
      <c r="UQR35" s="232"/>
      <c r="UQS35" s="233"/>
      <c r="UQT35" s="233"/>
      <c r="UQU35" s="233"/>
      <c r="UQV35" s="233"/>
      <c r="UQW35" s="233"/>
      <c r="UQX35" s="233"/>
      <c r="UQY35" s="231"/>
      <c r="UQZ35" s="231"/>
      <c r="URA35" s="229"/>
      <c r="URB35" s="230"/>
      <c r="URC35" s="231"/>
      <c r="URD35" s="232"/>
      <c r="URE35" s="233"/>
      <c r="URF35" s="233"/>
      <c r="URG35" s="233"/>
      <c r="URH35" s="233"/>
      <c r="URI35" s="233"/>
      <c r="URJ35" s="233"/>
      <c r="URK35" s="231"/>
      <c r="URL35" s="231"/>
      <c r="URM35" s="229"/>
      <c r="URN35" s="230"/>
      <c r="URO35" s="231"/>
      <c r="URP35" s="232"/>
      <c r="URQ35" s="233"/>
      <c r="URR35" s="233"/>
      <c r="URS35" s="233"/>
      <c r="URT35" s="233"/>
      <c r="URU35" s="233"/>
      <c r="URV35" s="233"/>
      <c r="URW35" s="231"/>
      <c r="URX35" s="231"/>
      <c r="URY35" s="229"/>
      <c r="URZ35" s="230"/>
      <c r="USA35" s="231"/>
      <c r="USB35" s="232"/>
      <c r="USC35" s="233"/>
      <c r="USD35" s="233"/>
      <c r="USE35" s="233"/>
      <c r="USF35" s="233"/>
      <c r="USG35" s="233"/>
      <c r="USH35" s="233"/>
      <c r="USI35" s="231"/>
      <c r="USJ35" s="231"/>
      <c r="USK35" s="229"/>
      <c r="USL35" s="230"/>
      <c r="USM35" s="231"/>
      <c r="USN35" s="232"/>
      <c r="USO35" s="233"/>
      <c r="USP35" s="233"/>
      <c r="USQ35" s="233"/>
      <c r="USR35" s="233"/>
      <c r="USS35" s="233"/>
      <c r="UST35" s="233"/>
      <c r="USU35" s="231"/>
      <c r="USV35" s="231"/>
      <c r="USW35" s="229"/>
      <c r="USX35" s="230"/>
      <c r="USY35" s="231"/>
      <c r="USZ35" s="232"/>
      <c r="UTA35" s="233"/>
      <c r="UTB35" s="233"/>
      <c r="UTC35" s="233"/>
      <c r="UTD35" s="233"/>
      <c r="UTE35" s="233"/>
      <c r="UTF35" s="233"/>
      <c r="UTG35" s="231"/>
      <c r="UTH35" s="231"/>
      <c r="UTI35" s="229"/>
      <c r="UTJ35" s="230"/>
      <c r="UTK35" s="231"/>
      <c r="UTL35" s="232"/>
      <c r="UTM35" s="233"/>
      <c r="UTN35" s="233"/>
      <c r="UTO35" s="233"/>
      <c r="UTP35" s="233"/>
      <c r="UTQ35" s="233"/>
      <c r="UTR35" s="233"/>
      <c r="UTS35" s="231"/>
      <c r="UTT35" s="231"/>
      <c r="UTU35" s="229"/>
      <c r="UTV35" s="230"/>
      <c r="UTW35" s="231"/>
      <c r="UTX35" s="232"/>
      <c r="UTY35" s="233"/>
      <c r="UTZ35" s="233"/>
      <c r="UUA35" s="233"/>
      <c r="UUB35" s="233"/>
      <c r="UUC35" s="233"/>
      <c r="UUD35" s="233"/>
      <c r="UUE35" s="231"/>
      <c r="UUF35" s="231"/>
      <c r="UUG35" s="229"/>
      <c r="UUH35" s="230"/>
      <c r="UUI35" s="231"/>
      <c r="UUJ35" s="232"/>
      <c r="UUK35" s="233"/>
      <c r="UUL35" s="233"/>
      <c r="UUM35" s="233"/>
      <c r="UUN35" s="233"/>
      <c r="UUO35" s="233"/>
      <c r="UUP35" s="233"/>
      <c r="UUQ35" s="231"/>
      <c r="UUR35" s="231"/>
      <c r="UUS35" s="229"/>
      <c r="UUT35" s="230"/>
      <c r="UUU35" s="231"/>
      <c r="UUV35" s="232"/>
      <c r="UUW35" s="233"/>
      <c r="UUX35" s="233"/>
      <c r="UUY35" s="233"/>
      <c r="UUZ35" s="233"/>
      <c r="UVA35" s="233"/>
      <c r="UVB35" s="233"/>
      <c r="UVC35" s="231"/>
      <c r="UVD35" s="231"/>
      <c r="UVE35" s="229"/>
      <c r="UVF35" s="230"/>
      <c r="UVG35" s="231"/>
      <c r="UVH35" s="232"/>
      <c r="UVI35" s="233"/>
      <c r="UVJ35" s="233"/>
      <c r="UVK35" s="233"/>
      <c r="UVL35" s="233"/>
      <c r="UVM35" s="233"/>
      <c r="UVN35" s="233"/>
      <c r="UVO35" s="231"/>
      <c r="UVP35" s="231"/>
      <c r="UVQ35" s="229"/>
      <c r="UVR35" s="230"/>
      <c r="UVS35" s="231"/>
      <c r="UVT35" s="232"/>
      <c r="UVU35" s="233"/>
      <c r="UVV35" s="233"/>
      <c r="UVW35" s="233"/>
      <c r="UVX35" s="233"/>
      <c r="UVY35" s="233"/>
      <c r="UVZ35" s="233"/>
      <c r="UWA35" s="231"/>
      <c r="UWB35" s="231"/>
      <c r="UWC35" s="229"/>
      <c r="UWD35" s="230"/>
      <c r="UWE35" s="231"/>
      <c r="UWF35" s="232"/>
      <c r="UWG35" s="233"/>
      <c r="UWH35" s="233"/>
      <c r="UWI35" s="233"/>
      <c r="UWJ35" s="233"/>
      <c r="UWK35" s="233"/>
      <c r="UWL35" s="233"/>
      <c r="UWM35" s="231"/>
      <c r="UWN35" s="231"/>
      <c r="UWO35" s="229"/>
      <c r="UWP35" s="230"/>
      <c r="UWQ35" s="231"/>
      <c r="UWR35" s="232"/>
      <c r="UWS35" s="233"/>
      <c r="UWT35" s="233"/>
      <c r="UWU35" s="233"/>
      <c r="UWV35" s="233"/>
      <c r="UWW35" s="233"/>
      <c r="UWX35" s="233"/>
      <c r="UWY35" s="231"/>
      <c r="UWZ35" s="231"/>
      <c r="UXA35" s="229"/>
      <c r="UXB35" s="230"/>
      <c r="UXC35" s="231"/>
      <c r="UXD35" s="232"/>
      <c r="UXE35" s="233"/>
      <c r="UXF35" s="233"/>
      <c r="UXG35" s="233"/>
      <c r="UXH35" s="233"/>
      <c r="UXI35" s="233"/>
      <c r="UXJ35" s="233"/>
      <c r="UXK35" s="231"/>
      <c r="UXL35" s="231"/>
      <c r="UXM35" s="229"/>
      <c r="UXN35" s="230"/>
      <c r="UXO35" s="231"/>
      <c r="UXP35" s="232"/>
      <c r="UXQ35" s="233"/>
      <c r="UXR35" s="233"/>
      <c r="UXS35" s="233"/>
      <c r="UXT35" s="233"/>
      <c r="UXU35" s="233"/>
      <c r="UXV35" s="233"/>
      <c r="UXW35" s="231"/>
      <c r="UXX35" s="231"/>
      <c r="UXY35" s="229"/>
      <c r="UXZ35" s="230"/>
      <c r="UYA35" s="231"/>
      <c r="UYB35" s="232"/>
      <c r="UYC35" s="233"/>
      <c r="UYD35" s="233"/>
      <c r="UYE35" s="233"/>
      <c r="UYF35" s="233"/>
      <c r="UYG35" s="233"/>
      <c r="UYH35" s="233"/>
      <c r="UYI35" s="231"/>
      <c r="UYJ35" s="231"/>
      <c r="UYK35" s="229"/>
      <c r="UYL35" s="230"/>
      <c r="UYM35" s="231"/>
      <c r="UYN35" s="232"/>
      <c r="UYO35" s="233"/>
      <c r="UYP35" s="233"/>
      <c r="UYQ35" s="233"/>
      <c r="UYR35" s="233"/>
      <c r="UYS35" s="233"/>
      <c r="UYT35" s="233"/>
      <c r="UYU35" s="231"/>
      <c r="UYV35" s="231"/>
      <c r="UYW35" s="229"/>
      <c r="UYX35" s="230"/>
      <c r="UYY35" s="231"/>
      <c r="UYZ35" s="232"/>
      <c r="UZA35" s="233"/>
      <c r="UZB35" s="233"/>
      <c r="UZC35" s="233"/>
      <c r="UZD35" s="233"/>
      <c r="UZE35" s="233"/>
      <c r="UZF35" s="233"/>
      <c r="UZG35" s="231"/>
      <c r="UZH35" s="231"/>
      <c r="UZI35" s="229"/>
      <c r="UZJ35" s="230"/>
      <c r="UZK35" s="231"/>
      <c r="UZL35" s="232"/>
      <c r="UZM35" s="233"/>
      <c r="UZN35" s="233"/>
      <c r="UZO35" s="233"/>
      <c r="UZP35" s="233"/>
      <c r="UZQ35" s="233"/>
      <c r="UZR35" s="233"/>
      <c r="UZS35" s="231"/>
      <c r="UZT35" s="231"/>
      <c r="UZU35" s="229"/>
      <c r="UZV35" s="230"/>
      <c r="UZW35" s="231"/>
      <c r="UZX35" s="232"/>
      <c r="UZY35" s="233"/>
      <c r="UZZ35" s="233"/>
      <c r="VAA35" s="233"/>
      <c r="VAB35" s="233"/>
      <c r="VAC35" s="233"/>
      <c r="VAD35" s="233"/>
      <c r="VAE35" s="231"/>
      <c r="VAF35" s="231"/>
      <c r="VAG35" s="229"/>
      <c r="VAH35" s="230"/>
      <c r="VAI35" s="231"/>
      <c r="VAJ35" s="232"/>
      <c r="VAK35" s="233"/>
      <c r="VAL35" s="233"/>
      <c r="VAM35" s="233"/>
      <c r="VAN35" s="233"/>
      <c r="VAO35" s="233"/>
      <c r="VAP35" s="233"/>
      <c r="VAQ35" s="231"/>
      <c r="VAR35" s="231"/>
      <c r="VAS35" s="229"/>
      <c r="VAT35" s="230"/>
      <c r="VAU35" s="231"/>
      <c r="VAV35" s="232"/>
      <c r="VAW35" s="233"/>
      <c r="VAX35" s="233"/>
      <c r="VAY35" s="233"/>
      <c r="VAZ35" s="233"/>
      <c r="VBA35" s="233"/>
      <c r="VBB35" s="233"/>
      <c r="VBC35" s="231"/>
      <c r="VBD35" s="231"/>
      <c r="VBE35" s="229"/>
      <c r="VBF35" s="230"/>
      <c r="VBG35" s="231"/>
      <c r="VBH35" s="232"/>
      <c r="VBI35" s="233"/>
      <c r="VBJ35" s="233"/>
      <c r="VBK35" s="233"/>
      <c r="VBL35" s="233"/>
      <c r="VBM35" s="233"/>
      <c r="VBN35" s="233"/>
      <c r="VBO35" s="231"/>
      <c r="VBP35" s="231"/>
      <c r="VBQ35" s="229"/>
      <c r="VBR35" s="230"/>
      <c r="VBS35" s="231"/>
      <c r="VBT35" s="232"/>
      <c r="VBU35" s="233"/>
      <c r="VBV35" s="233"/>
      <c r="VBW35" s="233"/>
      <c r="VBX35" s="233"/>
      <c r="VBY35" s="233"/>
      <c r="VBZ35" s="233"/>
      <c r="VCA35" s="231"/>
      <c r="VCB35" s="231"/>
      <c r="VCC35" s="229"/>
      <c r="VCD35" s="230"/>
      <c r="VCE35" s="231"/>
      <c r="VCF35" s="232"/>
      <c r="VCG35" s="233"/>
      <c r="VCH35" s="233"/>
      <c r="VCI35" s="233"/>
      <c r="VCJ35" s="233"/>
      <c r="VCK35" s="233"/>
      <c r="VCL35" s="233"/>
      <c r="VCM35" s="231"/>
      <c r="VCN35" s="231"/>
      <c r="VCO35" s="229"/>
      <c r="VCP35" s="230"/>
      <c r="VCQ35" s="231"/>
      <c r="VCR35" s="232"/>
      <c r="VCS35" s="233"/>
      <c r="VCT35" s="233"/>
      <c r="VCU35" s="233"/>
      <c r="VCV35" s="233"/>
      <c r="VCW35" s="233"/>
      <c r="VCX35" s="233"/>
      <c r="VCY35" s="231"/>
      <c r="VCZ35" s="231"/>
      <c r="VDA35" s="229"/>
      <c r="VDB35" s="230"/>
      <c r="VDC35" s="231"/>
      <c r="VDD35" s="232"/>
      <c r="VDE35" s="233"/>
      <c r="VDF35" s="233"/>
      <c r="VDG35" s="233"/>
      <c r="VDH35" s="233"/>
      <c r="VDI35" s="233"/>
      <c r="VDJ35" s="233"/>
      <c r="VDK35" s="231"/>
      <c r="VDL35" s="231"/>
      <c r="VDM35" s="229"/>
      <c r="VDN35" s="230"/>
      <c r="VDO35" s="231"/>
      <c r="VDP35" s="232"/>
      <c r="VDQ35" s="233"/>
      <c r="VDR35" s="233"/>
      <c r="VDS35" s="233"/>
      <c r="VDT35" s="233"/>
      <c r="VDU35" s="233"/>
      <c r="VDV35" s="233"/>
      <c r="VDW35" s="231"/>
      <c r="VDX35" s="231"/>
      <c r="VDY35" s="229"/>
      <c r="VDZ35" s="230"/>
      <c r="VEA35" s="231"/>
      <c r="VEB35" s="232"/>
      <c r="VEC35" s="233"/>
      <c r="VED35" s="233"/>
      <c r="VEE35" s="233"/>
      <c r="VEF35" s="233"/>
      <c r="VEG35" s="233"/>
      <c r="VEH35" s="233"/>
      <c r="VEI35" s="231"/>
      <c r="VEJ35" s="231"/>
      <c r="VEK35" s="229"/>
      <c r="VEL35" s="230"/>
      <c r="VEM35" s="231"/>
      <c r="VEN35" s="232"/>
      <c r="VEO35" s="233"/>
      <c r="VEP35" s="233"/>
      <c r="VEQ35" s="233"/>
      <c r="VER35" s="233"/>
      <c r="VES35" s="233"/>
      <c r="VET35" s="233"/>
      <c r="VEU35" s="231"/>
      <c r="VEV35" s="231"/>
      <c r="VEW35" s="229"/>
      <c r="VEX35" s="230"/>
      <c r="VEY35" s="231"/>
      <c r="VEZ35" s="232"/>
      <c r="VFA35" s="233"/>
      <c r="VFB35" s="233"/>
      <c r="VFC35" s="233"/>
      <c r="VFD35" s="233"/>
      <c r="VFE35" s="233"/>
      <c r="VFF35" s="233"/>
      <c r="VFG35" s="231"/>
      <c r="VFH35" s="231"/>
      <c r="VFI35" s="229"/>
      <c r="VFJ35" s="230"/>
      <c r="VFK35" s="231"/>
      <c r="VFL35" s="232"/>
      <c r="VFM35" s="233"/>
      <c r="VFN35" s="233"/>
      <c r="VFO35" s="233"/>
      <c r="VFP35" s="233"/>
      <c r="VFQ35" s="233"/>
      <c r="VFR35" s="233"/>
      <c r="VFS35" s="231"/>
      <c r="VFT35" s="231"/>
      <c r="VFU35" s="229"/>
      <c r="VFV35" s="230"/>
      <c r="VFW35" s="231"/>
      <c r="VFX35" s="232"/>
      <c r="VFY35" s="233"/>
      <c r="VFZ35" s="233"/>
      <c r="VGA35" s="233"/>
      <c r="VGB35" s="233"/>
      <c r="VGC35" s="233"/>
      <c r="VGD35" s="233"/>
      <c r="VGE35" s="231"/>
      <c r="VGF35" s="231"/>
      <c r="VGG35" s="229"/>
      <c r="VGH35" s="230"/>
      <c r="VGI35" s="231"/>
      <c r="VGJ35" s="232"/>
      <c r="VGK35" s="233"/>
      <c r="VGL35" s="233"/>
      <c r="VGM35" s="233"/>
      <c r="VGN35" s="233"/>
      <c r="VGO35" s="233"/>
      <c r="VGP35" s="233"/>
      <c r="VGQ35" s="231"/>
      <c r="VGR35" s="231"/>
      <c r="VGS35" s="229"/>
      <c r="VGT35" s="230"/>
      <c r="VGU35" s="231"/>
      <c r="VGV35" s="232"/>
      <c r="VGW35" s="233"/>
      <c r="VGX35" s="233"/>
      <c r="VGY35" s="233"/>
      <c r="VGZ35" s="233"/>
      <c r="VHA35" s="233"/>
      <c r="VHB35" s="233"/>
      <c r="VHC35" s="231"/>
      <c r="VHD35" s="231"/>
      <c r="VHE35" s="229"/>
      <c r="VHF35" s="230"/>
      <c r="VHG35" s="231"/>
      <c r="VHH35" s="232"/>
      <c r="VHI35" s="233"/>
      <c r="VHJ35" s="233"/>
      <c r="VHK35" s="233"/>
      <c r="VHL35" s="233"/>
      <c r="VHM35" s="233"/>
      <c r="VHN35" s="233"/>
      <c r="VHO35" s="231"/>
      <c r="VHP35" s="231"/>
      <c r="VHQ35" s="229"/>
      <c r="VHR35" s="230"/>
      <c r="VHS35" s="231"/>
      <c r="VHT35" s="232"/>
      <c r="VHU35" s="233"/>
      <c r="VHV35" s="233"/>
      <c r="VHW35" s="233"/>
      <c r="VHX35" s="233"/>
      <c r="VHY35" s="233"/>
      <c r="VHZ35" s="233"/>
      <c r="VIA35" s="231"/>
      <c r="VIB35" s="231"/>
      <c r="VIC35" s="229"/>
      <c r="VID35" s="230"/>
      <c r="VIE35" s="231"/>
      <c r="VIF35" s="232"/>
      <c r="VIG35" s="233"/>
      <c r="VIH35" s="233"/>
      <c r="VII35" s="233"/>
      <c r="VIJ35" s="233"/>
      <c r="VIK35" s="233"/>
      <c r="VIL35" s="233"/>
      <c r="VIM35" s="231"/>
      <c r="VIN35" s="231"/>
      <c r="VIO35" s="229"/>
      <c r="VIP35" s="230"/>
      <c r="VIQ35" s="231"/>
      <c r="VIR35" s="232"/>
      <c r="VIS35" s="233"/>
      <c r="VIT35" s="233"/>
      <c r="VIU35" s="233"/>
      <c r="VIV35" s="233"/>
      <c r="VIW35" s="233"/>
      <c r="VIX35" s="233"/>
      <c r="VIY35" s="231"/>
      <c r="VIZ35" s="231"/>
      <c r="VJA35" s="229"/>
      <c r="VJB35" s="230"/>
      <c r="VJC35" s="231"/>
      <c r="VJD35" s="232"/>
      <c r="VJE35" s="233"/>
      <c r="VJF35" s="233"/>
      <c r="VJG35" s="233"/>
      <c r="VJH35" s="233"/>
      <c r="VJI35" s="233"/>
      <c r="VJJ35" s="233"/>
      <c r="VJK35" s="231"/>
      <c r="VJL35" s="231"/>
      <c r="VJM35" s="229"/>
      <c r="VJN35" s="230"/>
      <c r="VJO35" s="231"/>
      <c r="VJP35" s="232"/>
      <c r="VJQ35" s="233"/>
      <c r="VJR35" s="233"/>
      <c r="VJS35" s="233"/>
      <c r="VJT35" s="233"/>
      <c r="VJU35" s="233"/>
      <c r="VJV35" s="233"/>
      <c r="VJW35" s="231"/>
      <c r="VJX35" s="231"/>
      <c r="VJY35" s="229"/>
      <c r="VJZ35" s="230"/>
      <c r="VKA35" s="231"/>
      <c r="VKB35" s="232"/>
      <c r="VKC35" s="233"/>
      <c r="VKD35" s="233"/>
      <c r="VKE35" s="233"/>
      <c r="VKF35" s="233"/>
      <c r="VKG35" s="233"/>
      <c r="VKH35" s="233"/>
      <c r="VKI35" s="231"/>
      <c r="VKJ35" s="231"/>
      <c r="VKK35" s="229"/>
      <c r="VKL35" s="230"/>
      <c r="VKM35" s="231"/>
      <c r="VKN35" s="232"/>
      <c r="VKO35" s="233"/>
      <c r="VKP35" s="233"/>
      <c r="VKQ35" s="233"/>
      <c r="VKR35" s="233"/>
      <c r="VKS35" s="233"/>
      <c r="VKT35" s="233"/>
      <c r="VKU35" s="231"/>
      <c r="VKV35" s="231"/>
      <c r="VKW35" s="229"/>
      <c r="VKX35" s="230"/>
      <c r="VKY35" s="231"/>
      <c r="VKZ35" s="232"/>
      <c r="VLA35" s="233"/>
      <c r="VLB35" s="233"/>
      <c r="VLC35" s="233"/>
      <c r="VLD35" s="233"/>
      <c r="VLE35" s="233"/>
      <c r="VLF35" s="233"/>
      <c r="VLG35" s="231"/>
      <c r="VLH35" s="231"/>
      <c r="VLI35" s="229"/>
      <c r="VLJ35" s="230"/>
      <c r="VLK35" s="231"/>
      <c r="VLL35" s="232"/>
      <c r="VLM35" s="233"/>
      <c r="VLN35" s="233"/>
      <c r="VLO35" s="233"/>
      <c r="VLP35" s="233"/>
      <c r="VLQ35" s="233"/>
      <c r="VLR35" s="233"/>
      <c r="VLS35" s="231"/>
      <c r="VLT35" s="231"/>
      <c r="VLU35" s="229"/>
      <c r="VLV35" s="230"/>
      <c r="VLW35" s="231"/>
      <c r="VLX35" s="232"/>
      <c r="VLY35" s="233"/>
      <c r="VLZ35" s="233"/>
      <c r="VMA35" s="233"/>
      <c r="VMB35" s="233"/>
      <c r="VMC35" s="233"/>
      <c r="VMD35" s="233"/>
      <c r="VME35" s="231"/>
      <c r="VMF35" s="231"/>
      <c r="VMG35" s="229"/>
      <c r="VMH35" s="230"/>
      <c r="VMI35" s="231"/>
      <c r="VMJ35" s="232"/>
      <c r="VMK35" s="233"/>
      <c r="VML35" s="233"/>
      <c r="VMM35" s="233"/>
      <c r="VMN35" s="233"/>
      <c r="VMO35" s="233"/>
      <c r="VMP35" s="233"/>
      <c r="VMQ35" s="231"/>
      <c r="VMR35" s="231"/>
      <c r="VMS35" s="229"/>
      <c r="VMT35" s="230"/>
      <c r="VMU35" s="231"/>
      <c r="VMV35" s="232"/>
      <c r="VMW35" s="233"/>
      <c r="VMX35" s="233"/>
      <c r="VMY35" s="233"/>
      <c r="VMZ35" s="233"/>
      <c r="VNA35" s="233"/>
      <c r="VNB35" s="233"/>
      <c r="VNC35" s="231"/>
      <c r="VND35" s="231"/>
      <c r="VNE35" s="229"/>
      <c r="VNF35" s="230"/>
      <c r="VNG35" s="231"/>
      <c r="VNH35" s="232"/>
      <c r="VNI35" s="233"/>
      <c r="VNJ35" s="233"/>
      <c r="VNK35" s="233"/>
      <c r="VNL35" s="233"/>
      <c r="VNM35" s="233"/>
      <c r="VNN35" s="233"/>
      <c r="VNO35" s="231"/>
      <c r="VNP35" s="231"/>
      <c r="VNQ35" s="229"/>
      <c r="VNR35" s="230"/>
      <c r="VNS35" s="231"/>
      <c r="VNT35" s="232"/>
      <c r="VNU35" s="233"/>
      <c r="VNV35" s="233"/>
      <c r="VNW35" s="233"/>
      <c r="VNX35" s="233"/>
      <c r="VNY35" s="233"/>
      <c r="VNZ35" s="233"/>
      <c r="VOA35" s="231"/>
      <c r="VOB35" s="231"/>
      <c r="VOC35" s="229"/>
      <c r="VOD35" s="230"/>
      <c r="VOE35" s="231"/>
      <c r="VOF35" s="232"/>
      <c r="VOG35" s="233"/>
      <c r="VOH35" s="233"/>
      <c r="VOI35" s="233"/>
      <c r="VOJ35" s="233"/>
      <c r="VOK35" s="233"/>
      <c r="VOL35" s="233"/>
      <c r="VOM35" s="231"/>
      <c r="VON35" s="231"/>
      <c r="VOO35" s="229"/>
      <c r="VOP35" s="230"/>
      <c r="VOQ35" s="231"/>
      <c r="VOR35" s="232"/>
      <c r="VOS35" s="233"/>
      <c r="VOT35" s="233"/>
      <c r="VOU35" s="233"/>
      <c r="VOV35" s="233"/>
      <c r="VOW35" s="233"/>
      <c r="VOX35" s="233"/>
      <c r="VOY35" s="231"/>
      <c r="VOZ35" s="231"/>
      <c r="VPA35" s="229"/>
      <c r="VPB35" s="230"/>
      <c r="VPC35" s="231"/>
      <c r="VPD35" s="232"/>
      <c r="VPE35" s="233"/>
      <c r="VPF35" s="233"/>
      <c r="VPG35" s="233"/>
      <c r="VPH35" s="233"/>
      <c r="VPI35" s="233"/>
      <c r="VPJ35" s="233"/>
      <c r="VPK35" s="231"/>
      <c r="VPL35" s="231"/>
      <c r="VPM35" s="229"/>
      <c r="VPN35" s="230"/>
      <c r="VPO35" s="231"/>
      <c r="VPP35" s="232"/>
      <c r="VPQ35" s="233"/>
      <c r="VPR35" s="233"/>
      <c r="VPS35" s="233"/>
      <c r="VPT35" s="233"/>
      <c r="VPU35" s="233"/>
      <c r="VPV35" s="233"/>
      <c r="VPW35" s="231"/>
      <c r="VPX35" s="231"/>
      <c r="VPY35" s="229"/>
      <c r="VPZ35" s="230"/>
      <c r="VQA35" s="231"/>
      <c r="VQB35" s="232"/>
      <c r="VQC35" s="233"/>
      <c r="VQD35" s="233"/>
      <c r="VQE35" s="233"/>
      <c r="VQF35" s="233"/>
      <c r="VQG35" s="233"/>
      <c r="VQH35" s="233"/>
      <c r="VQI35" s="231"/>
      <c r="VQJ35" s="231"/>
      <c r="VQK35" s="229"/>
      <c r="VQL35" s="230"/>
      <c r="VQM35" s="231"/>
      <c r="VQN35" s="232"/>
      <c r="VQO35" s="233"/>
      <c r="VQP35" s="233"/>
      <c r="VQQ35" s="233"/>
      <c r="VQR35" s="233"/>
      <c r="VQS35" s="233"/>
      <c r="VQT35" s="233"/>
      <c r="VQU35" s="231"/>
      <c r="VQV35" s="231"/>
      <c r="VQW35" s="229"/>
      <c r="VQX35" s="230"/>
      <c r="VQY35" s="231"/>
      <c r="VQZ35" s="232"/>
      <c r="VRA35" s="233"/>
      <c r="VRB35" s="233"/>
      <c r="VRC35" s="233"/>
      <c r="VRD35" s="233"/>
      <c r="VRE35" s="233"/>
      <c r="VRF35" s="233"/>
      <c r="VRG35" s="231"/>
      <c r="VRH35" s="231"/>
      <c r="VRI35" s="229"/>
      <c r="VRJ35" s="230"/>
      <c r="VRK35" s="231"/>
      <c r="VRL35" s="232"/>
      <c r="VRM35" s="233"/>
      <c r="VRN35" s="233"/>
      <c r="VRO35" s="233"/>
      <c r="VRP35" s="233"/>
      <c r="VRQ35" s="233"/>
      <c r="VRR35" s="233"/>
      <c r="VRS35" s="231"/>
      <c r="VRT35" s="231"/>
      <c r="VRU35" s="229"/>
      <c r="VRV35" s="230"/>
      <c r="VRW35" s="231"/>
      <c r="VRX35" s="232"/>
      <c r="VRY35" s="233"/>
      <c r="VRZ35" s="233"/>
      <c r="VSA35" s="233"/>
      <c r="VSB35" s="233"/>
      <c r="VSC35" s="233"/>
      <c r="VSD35" s="233"/>
      <c r="VSE35" s="231"/>
      <c r="VSF35" s="231"/>
      <c r="VSG35" s="229"/>
      <c r="VSH35" s="230"/>
      <c r="VSI35" s="231"/>
      <c r="VSJ35" s="232"/>
      <c r="VSK35" s="233"/>
      <c r="VSL35" s="233"/>
      <c r="VSM35" s="233"/>
      <c r="VSN35" s="233"/>
      <c r="VSO35" s="233"/>
      <c r="VSP35" s="233"/>
      <c r="VSQ35" s="231"/>
      <c r="VSR35" s="231"/>
      <c r="VSS35" s="229"/>
      <c r="VST35" s="230"/>
      <c r="VSU35" s="231"/>
      <c r="VSV35" s="232"/>
      <c r="VSW35" s="233"/>
      <c r="VSX35" s="233"/>
      <c r="VSY35" s="233"/>
      <c r="VSZ35" s="233"/>
      <c r="VTA35" s="233"/>
      <c r="VTB35" s="233"/>
      <c r="VTC35" s="231"/>
      <c r="VTD35" s="231"/>
      <c r="VTE35" s="229"/>
      <c r="VTF35" s="230"/>
      <c r="VTG35" s="231"/>
      <c r="VTH35" s="232"/>
      <c r="VTI35" s="233"/>
      <c r="VTJ35" s="233"/>
      <c r="VTK35" s="233"/>
      <c r="VTL35" s="233"/>
      <c r="VTM35" s="233"/>
      <c r="VTN35" s="233"/>
      <c r="VTO35" s="231"/>
      <c r="VTP35" s="231"/>
      <c r="VTQ35" s="229"/>
      <c r="VTR35" s="230"/>
      <c r="VTS35" s="231"/>
      <c r="VTT35" s="232"/>
      <c r="VTU35" s="233"/>
      <c r="VTV35" s="233"/>
      <c r="VTW35" s="233"/>
      <c r="VTX35" s="233"/>
      <c r="VTY35" s="233"/>
      <c r="VTZ35" s="233"/>
      <c r="VUA35" s="231"/>
      <c r="VUB35" s="231"/>
      <c r="VUC35" s="229"/>
      <c r="VUD35" s="230"/>
      <c r="VUE35" s="231"/>
      <c r="VUF35" s="232"/>
      <c r="VUG35" s="233"/>
      <c r="VUH35" s="233"/>
      <c r="VUI35" s="233"/>
      <c r="VUJ35" s="233"/>
      <c r="VUK35" s="233"/>
      <c r="VUL35" s="233"/>
      <c r="VUM35" s="231"/>
      <c r="VUN35" s="231"/>
      <c r="VUO35" s="229"/>
      <c r="VUP35" s="230"/>
      <c r="VUQ35" s="231"/>
      <c r="VUR35" s="232"/>
      <c r="VUS35" s="233"/>
      <c r="VUT35" s="233"/>
      <c r="VUU35" s="233"/>
      <c r="VUV35" s="233"/>
      <c r="VUW35" s="233"/>
      <c r="VUX35" s="233"/>
      <c r="VUY35" s="231"/>
      <c r="VUZ35" s="231"/>
      <c r="VVA35" s="229"/>
      <c r="VVB35" s="230"/>
      <c r="VVC35" s="231"/>
      <c r="VVD35" s="232"/>
      <c r="VVE35" s="233"/>
      <c r="VVF35" s="233"/>
      <c r="VVG35" s="233"/>
      <c r="VVH35" s="233"/>
      <c r="VVI35" s="233"/>
      <c r="VVJ35" s="233"/>
      <c r="VVK35" s="231"/>
      <c r="VVL35" s="231"/>
      <c r="VVM35" s="229"/>
      <c r="VVN35" s="230"/>
      <c r="VVO35" s="231"/>
      <c r="VVP35" s="232"/>
      <c r="VVQ35" s="233"/>
      <c r="VVR35" s="233"/>
      <c r="VVS35" s="233"/>
      <c r="VVT35" s="233"/>
      <c r="VVU35" s="233"/>
      <c r="VVV35" s="233"/>
      <c r="VVW35" s="231"/>
      <c r="VVX35" s="231"/>
      <c r="VVY35" s="229"/>
      <c r="VVZ35" s="230"/>
      <c r="VWA35" s="231"/>
      <c r="VWB35" s="232"/>
      <c r="VWC35" s="233"/>
      <c r="VWD35" s="233"/>
      <c r="VWE35" s="233"/>
      <c r="VWF35" s="233"/>
      <c r="VWG35" s="233"/>
      <c r="VWH35" s="233"/>
      <c r="VWI35" s="231"/>
      <c r="VWJ35" s="231"/>
      <c r="VWK35" s="229"/>
      <c r="VWL35" s="230"/>
      <c r="VWM35" s="231"/>
      <c r="VWN35" s="232"/>
      <c r="VWO35" s="233"/>
      <c r="VWP35" s="233"/>
      <c r="VWQ35" s="233"/>
      <c r="VWR35" s="233"/>
      <c r="VWS35" s="233"/>
      <c r="VWT35" s="233"/>
      <c r="VWU35" s="231"/>
      <c r="VWV35" s="231"/>
      <c r="VWW35" s="229"/>
      <c r="VWX35" s="230"/>
      <c r="VWY35" s="231"/>
      <c r="VWZ35" s="232"/>
      <c r="VXA35" s="233"/>
      <c r="VXB35" s="233"/>
      <c r="VXC35" s="233"/>
      <c r="VXD35" s="233"/>
      <c r="VXE35" s="233"/>
      <c r="VXF35" s="233"/>
      <c r="VXG35" s="231"/>
      <c r="VXH35" s="231"/>
      <c r="VXI35" s="229"/>
      <c r="VXJ35" s="230"/>
      <c r="VXK35" s="231"/>
      <c r="VXL35" s="232"/>
      <c r="VXM35" s="233"/>
      <c r="VXN35" s="233"/>
      <c r="VXO35" s="233"/>
      <c r="VXP35" s="233"/>
      <c r="VXQ35" s="233"/>
      <c r="VXR35" s="233"/>
      <c r="VXS35" s="231"/>
      <c r="VXT35" s="231"/>
      <c r="VXU35" s="229"/>
      <c r="VXV35" s="230"/>
      <c r="VXW35" s="231"/>
      <c r="VXX35" s="232"/>
      <c r="VXY35" s="233"/>
      <c r="VXZ35" s="233"/>
      <c r="VYA35" s="233"/>
      <c r="VYB35" s="233"/>
      <c r="VYC35" s="233"/>
      <c r="VYD35" s="233"/>
      <c r="VYE35" s="231"/>
      <c r="VYF35" s="231"/>
      <c r="VYG35" s="229"/>
      <c r="VYH35" s="230"/>
      <c r="VYI35" s="231"/>
      <c r="VYJ35" s="232"/>
      <c r="VYK35" s="233"/>
      <c r="VYL35" s="233"/>
      <c r="VYM35" s="233"/>
      <c r="VYN35" s="233"/>
      <c r="VYO35" s="233"/>
      <c r="VYP35" s="233"/>
      <c r="VYQ35" s="231"/>
      <c r="VYR35" s="231"/>
      <c r="VYS35" s="229"/>
      <c r="VYT35" s="230"/>
      <c r="VYU35" s="231"/>
      <c r="VYV35" s="232"/>
      <c r="VYW35" s="233"/>
      <c r="VYX35" s="233"/>
      <c r="VYY35" s="233"/>
      <c r="VYZ35" s="233"/>
      <c r="VZA35" s="233"/>
      <c r="VZB35" s="233"/>
      <c r="VZC35" s="231"/>
      <c r="VZD35" s="231"/>
      <c r="VZE35" s="229"/>
      <c r="VZF35" s="230"/>
      <c r="VZG35" s="231"/>
      <c r="VZH35" s="232"/>
      <c r="VZI35" s="233"/>
      <c r="VZJ35" s="233"/>
      <c r="VZK35" s="233"/>
      <c r="VZL35" s="233"/>
      <c r="VZM35" s="233"/>
      <c r="VZN35" s="233"/>
      <c r="VZO35" s="231"/>
      <c r="VZP35" s="231"/>
      <c r="VZQ35" s="229"/>
      <c r="VZR35" s="230"/>
      <c r="VZS35" s="231"/>
      <c r="VZT35" s="232"/>
      <c r="VZU35" s="233"/>
      <c r="VZV35" s="233"/>
      <c r="VZW35" s="233"/>
      <c r="VZX35" s="233"/>
      <c r="VZY35" s="233"/>
      <c r="VZZ35" s="233"/>
      <c r="WAA35" s="231"/>
      <c r="WAB35" s="231"/>
      <c r="WAC35" s="229"/>
      <c r="WAD35" s="230"/>
      <c r="WAE35" s="231"/>
      <c r="WAF35" s="232"/>
      <c r="WAG35" s="233"/>
      <c r="WAH35" s="233"/>
      <c r="WAI35" s="233"/>
      <c r="WAJ35" s="233"/>
      <c r="WAK35" s="233"/>
      <c r="WAL35" s="233"/>
      <c r="WAM35" s="231"/>
      <c r="WAN35" s="231"/>
      <c r="WAO35" s="229"/>
      <c r="WAP35" s="230"/>
      <c r="WAQ35" s="231"/>
      <c r="WAR35" s="232"/>
      <c r="WAS35" s="233"/>
      <c r="WAT35" s="233"/>
      <c r="WAU35" s="233"/>
      <c r="WAV35" s="233"/>
      <c r="WAW35" s="233"/>
      <c r="WAX35" s="233"/>
      <c r="WAY35" s="231"/>
      <c r="WAZ35" s="231"/>
      <c r="WBA35" s="229"/>
      <c r="WBB35" s="230"/>
      <c r="WBC35" s="231"/>
      <c r="WBD35" s="232"/>
      <c r="WBE35" s="233"/>
      <c r="WBF35" s="233"/>
      <c r="WBG35" s="233"/>
      <c r="WBH35" s="233"/>
      <c r="WBI35" s="233"/>
      <c r="WBJ35" s="233"/>
      <c r="WBK35" s="231"/>
      <c r="WBL35" s="231"/>
      <c r="WBM35" s="229"/>
      <c r="WBN35" s="230"/>
      <c r="WBO35" s="231"/>
      <c r="WBP35" s="232"/>
      <c r="WBQ35" s="233"/>
      <c r="WBR35" s="233"/>
      <c r="WBS35" s="233"/>
      <c r="WBT35" s="233"/>
      <c r="WBU35" s="233"/>
      <c r="WBV35" s="233"/>
      <c r="WBW35" s="231"/>
      <c r="WBX35" s="231"/>
      <c r="WBY35" s="229"/>
      <c r="WBZ35" s="230"/>
      <c r="WCA35" s="231"/>
      <c r="WCB35" s="232"/>
      <c r="WCC35" s="233"/>
      <c r="WCD35" s="233"/>
      <c r="WCE35" s="233"/>
      <c r="WCF35" s="233"/>
      <c r="WCG35" s="233"/>
      <c r="WCH35" s="233"/>
      <c r="WCI35" s="231"/>
      <c r="WCJ35" s="231"/>
      <c r="WCK35" s="229"/>
      <c r="WCL35" s="230"/>
      <c r="WCM35" s="231"/>
      <c r="WCN35" s="232"/>
      <c r="WCO35" s="233"/>
      <c r="WCP35" s="233"/>
      <c r="WCQ35" s="233"/>
      <c r="WCR35" s="233"/>
      <c r="WCS35" s="233"/>
      <c r="WCT35" s="233"/>
      <c r="WCU35" s="231"/>
      <c r="WCV35" s="231"/>
      <c r="WCW35" s="229"/>
      <c r="WCX35" s="230"/>
      <c r="WCY35" s="231"/>
      <c r="WCZ35" s="232"/>
      <c r="WDA35" s="233"/>
      <c r="WDB35" s="233"/>
      <c r="WDC35" s="233"/>
      <c r="WDD35" s="233"/>
      <c r="WDE35" s="233"/>
      <c r="WDF35" s="233"/>
      <c r="WDG35" s="231"/>
      <c r="WDH35" s="231"/>
      <c r="WDI35" s="229"/>
      <c r="WDJ35" s="230"/>
      <c r="WDK35" s="231"/>
      <c r="WDL35" s="232"/>
      <c r="WDM35" s="233"/>
      <c r="WDN35" s="233"/>
      <c r="WDO35" s="233"/>
      <c r="WDP35" s="233"/>
      <c r="WDQ35" s="233"/>
      <c r="WDR35" s="233"/>
      <c r="WDS35" s="231"/>
      <c r="WDT35" s="231"/>
      <c r="WDU35" s="229"/>
      <c r="WDV35" s="230"/>
      <c r="WDW35" s="231"/>
      <c r="WDX35" s="232"/>
      <c r="WDY35" s="233"/>
      <c r="WDZ35" s="233"/>
      <c r="WEA35" s="233"/>
      <c r="WEB35" s="233"/>
      <c r="WEC35" s="233"/>
      <c r="WED35" s="233"/>
      <c r="WEE35" s="231"/>
      <c r="WEF35" s="231"/>
      <c r="WEG35" s="229"/>
      <c r="WEH35" s="230"/>
      <c r="WEI35" s="231"/>
      <c r="WEJ35" s="232"/>
      <c r="WEK35" s="233"/>
      <c r="WEL35" s="233"/>
      <c r="WEM35" s="233"/>
      <c r="WEN35" s="233"/>
      <c r="WEO35" s="233"/>
      <c r="WEP35" s="233"/>
      <c r="WEQ35" s="231"/>
      <c r="WER35" s="231"/>
      <c r="WES35" s="229"/>
      <c r="WET35" s="230"/>
      <c r="WEU35" s="231"/>
      <c r="WEV35" s="232"/>
      <c r="WEW35" s="233"/>
      <c r="WEX35" s="233"/>
      <c r="WEY35" s="233"/>
      <c r="WEZ35" s="233"/>
      <c r="WFA35" s="233"/>
      <c r="WFB35" s="233"/>
      <c r="WFC35" s="231"/>
      <c r="WFD35" s="231"/>
      <c r="WFE35" s="229"/>
      <c r="WFF35" s="230"/>
      <c r="WFG35" s="231"/>
      <c r="WFH35" s="232"/>
      <c r="WFI35" s="233"/>
      <c r="WFJ35" s="233"/>
      <c r="WFK35" s="233"/>
      <c r="WFL35" s="233"/>
      <c r="WFM35" s="233"/>
      <c r="WFN35" s="233"/>
      <c r="WFO35" s="231"/>
      <c r="WFP35" s="231"/>
      <c r="WFQ35" s="229"/>
      <c r="WFR35" s="230"/>
      <c r="WFS35" s="231"/>
      <c r="WFT35" s="232"/>
      <c r="WFU35" s="233"/>
      <c r="WFV35" s="233"/>
      <c r="WFW35" s="233"/>
      <c r="WFX35" s="233"/>
      <c r="WFY35" s="233"/>
      <c r="WFZ35" s="233"/>
      <c r="WGA35" s="231"/>
      <c r="WGB35" s="231"/>
      <c r="WGC35" s="229"/>
      <c r="WGD35" s="230"/>
      <c r="WGE35" s="231"/>
      <c r="WGF35" s="232"/>
      <c r="WGG35" s="233"/>
      <c r="WGH35" s="233"/>
      <c r="WGI35" s="233"/>
      <c r="WGJ35" s="233"/>
      <c r="WGK35" s="233"/>
      <c r="WGL35" s="233"/>
      <c r="WGM35" s="231"/>
      <c r="WGN35" s="231"/>
      <c r="WGO35" s="229"/>
      <c r="WGP35" s="230"/>
      <c r="WGQ35" s="231"/>
      <c r="WGR35" s="232"/>
      <c r="WGS35" s="233"/>
      <c r="WGT35" s="233"/>
      <c r="WGU35" s="233"/>
      <c r="WGV35" s="233"/>
      <c r="WGW35" s="233"/>
      <c r="WGX35" s="233"/>
      <c r="WGY35" s="231"/>
      <c r="WGZ35" s="231"/>
      <c r="WHA35" s="229"/>
      <c r="WHB35" s="230"/>
      <c r="WHC35" s="231"/>
      <c r="WHD35" s="232"/>
      <c r="WHE35" s="233"/>
      <c r="WHF35" s="233"/>
      <c r="WHG35" s="233"/>
      <c r="WHH35" s="233"/>
      <c r="WHI35" s="233"/>
      <c r="WHJ35" s="233"/>
      <c r="WHK35" s="231"/>
      <c r="WHL35" s="231"/>
      <c r="WHM35" s="229"/>
      <c r="WHN35" s="230"/>
      <c r="WHO35" s="231"/>
      <c r="WHP35" s="232"/>
      <c r="WHQ35" s="233"/>
      <c r="WHR35" s="233"/>
      <c r="WHS35" s="233"/>
      <c r="WHT35" s="233"/>
      <c r="WHU35" s="233"/>
      <c r="WHV35" s="233"/>
      <c r="WHW35" s="231"/>
      <c r="WHX35" s="231"/>
      <c r="WHY35" s="229"/>
      <c r="WHZ35" s="230"/>
      <c r="WIA35" s="231"/>
      <c r="WIB35" s="232"/>
      <c r="WIC35" s="233"/>
      <c r="WID35" s="233"/>
      <c r="WIE35" s="233"/>
      <c r="WIF35" s="233"/>
      <c r="WIG35" s="233"/>
      <c r="WIH35" s="233"/>
      <c r="WII35" s="231"/>
      <c r="WIJ35" s="231"/>
      <c r="WIK35" s="229"/>
      <c r="WIL35" s="230"/>
      <c r="WIM35" s="231"/>
      <c r="WIN35" s="232"/>
      <c r="WIO35" s="233"/>
      <c r="WIP35" s="233"/>
      <c r="WIQ35" s="233"/>
      <c r="WIR35" s="233"/>
      <c r="WIS35" s="233"/>
      <c r="WIT35" s="233"/>
      <c r="WIU35" s="231"/>
      <c r="WIV35" s="231"/>
      <c r="WIW35" s="229"/>
      <c r="WIX35" s="230"/>
      <c r="WIY35" s="231"/>
      <c r="WIZ35" s="232"/>
      <c r="WJA35" s="233"/>
      <c r="WJB35" s="233"/>
      <c r="WJC35" s="233"/>
      <c r="WJD35" s="233"/>
      <c r="WJE35" s="233"/>
      <c r="WJF35" s="233"/>
      <c r="WJG35" s="231"/>
      <c r="WJH35" s="231"/>
      <c r="WJI35" s="229"/>
      <c r="WJJ35" s="230"/>
      <c r="WJK35" s="231"/>
      <c r="WJL35" s="232"/>
      <c r="WJM35" s="233"/>
      <c r="WJN35" s="233"/>
      <c r="WJO35" s="233"/>
      <c r="WJP35" s="233"/>
      <c r="WJQ35" s="233"/>
      <c r="WJR35" s="233"/>
      <c r="WJS35" s="231"/>
      <c r="WJT35" s="231"/>
      <c r="WJU35" s="229"/>
      <c r="WJV35" s="230"/>
      <c r="WJW35" s="231"/>
      <c r="WJX35" s="232"/>
      <c r="WJY35" s="233"/>
      <c r="WJZ35" s="233"/>
      <c r="WKA35" s="233"/>
      <c r="WKB35" s="233"/>
      <c r="WKC35" s="233"/>
      <c r="WKD35" s="233"/>
      <c r="WKE35" s="231"/>
      <c r="WKF35" s="231"/>
      <c r="WKG35" s="229"/>
      <c r="WKH35" s="230"/>
      <c r="WKI35" s="231"/>
      <c r="WKJ35" s="232"/>
      <c r="WKK35" s="233"/>
      <c r="WKL35" s="233"/>
      <c r="WKM35" s="233"/>
      <c r="WKN35" s="233"/>
      <c r="WKO35" s="233"/>
      <c r="WKP35" s="233"/>
      <c r="WKQ35" s="231"/>
      <c r="WKR35" s="231"/>
      <c r="WKS35" s="229"/>
      <c r="WKT35" s="230"/>
      <c r="WKU35" s="231"/>
      <c r="WKV35" s="232"/>
      <c r="WKW35" s="233"/>
      <c r="WKX35" s="233"/>
      <c r="WKY35" s="233"/>
      <c r="WKZ35" s="233"/>
      <c r="WLA35" s="233"/>
      <c r="WLB35" s="233"/>
      <c r="WLC35" s="231"/>
      <c r="WLD35" s="231"/>
      <c r="WLE35" s="229"/>
      <c r="WLF35" s="230"/>
      <c r="WLG35" s="231"/>
      <c r="WLH35" s="232"/>
      <c r="WLI35" s="233"/>
      <c r="WLJ35" s="233"/>
      <c r="WLK35" s="233"/>
      <c r="WLL35" s="233"/>
      <c r="WLM35" s="233"/>
      <c r="WLN35" s="233"/>
      <c r="WLO35" s="231"/>
      <c r="WLP35" s="231"/>
      <c r="WLQ35" s="229"/>
      <c r="WLR35" s="230"/>
      <c r="WLS35" s="231"/>
      <c r="WLT35" s="232"/>
      <c r="WLU35" s="233"/>
      <c r="WLV35" s="233"/>
      <c r="WLW35" s="233"/>
      <c r="WLX35" s="233"/>
      <c r="WLY35" s="233"/>
      <c r="WLZ35" s="233"/>
      <c r="WMA35" s="231"/>
      <c r="WMB35" s="231"/>
      <c r="WMC35" s="229"/>
      <c r="WMD35" s="230"/>
      <c r="WME35" s="231"/>
      <c r="WMF35" s="232"/>
      <c r="WMG35" s="233"/>
      <c r="WMH35" s="233"/>
      <c r="WMI35" s="233"/>
      <c r="WMJ35" s="233"/>
      <c r="WMK35" s="233"/>
      <c r="WML35" s="233"/>
      <c r="WMM35" s="231"/>
      <c r="WMN35" s="231"/>
      <c r="WMO35" s="229"/>
      <c r="WMP35" s="230"/>
      <c r="WMQ35" s="231"/>
      <c r="WMR35" s="232"/>
      <c r="WMS35" s="233"/>
      <c r="WMT35" s="233"/>
      <c r="WMU35" s="233"/>
      <c r="WMV35" s="233"/>
      <c r="WMW35" s="233"/>
      <c r="WMX35" s="233"/>
      <c r="WMY35" s="231"/>
      <c r="WMZ35" s="231"/>
      <c r="WNA35" s="229"/>
      <c r="WNB35" s="230"/>
      <c r="WNC35" s="231"/>
      <c r="WND35" s="232"/>
      <c r="WNE35" s="233"/>
      <c r="WNF35" s="233"/>
      <c r="WNG35" s="233"/>
      <c r="WNH35" s="233"/>
      <c r="WNI35" s="233"/>
      <c r="WNJ35" s="233"/>
      <c r="WNK35" s="231"/>
      <c r="WNL35" s="231"/>
      <c r="WNM35" s="229"/>
      <c r="WNN35" s="230"/>
      <c r="WNO35" s="231"/>
      <c r="WNP35" s="232"/>
      <c r="WNQ35" s="233"/>
      <c r="WNR35" s="233"/>
      <c r="WNS35" s="233"/>
      <c r="WNT35" s="233"/>
      <c r="WNU35" s="233"/>
      <c r="WNV35" s="233"/>
      <c r="WNW35" s="231"/>
      <c r="WNX35" s="231"/>
      <c r="WNY35" s="229"/>
      <c r="WNZ35" s="230"/>
      <c r="WOA35" s="231"/>
      <c r="WOB35" s="232"/>
      <c r="WOC35" s="233"/>
      <c r="WOD35" s="233"/>
      <c r="WOE35" s="233"/>
      <c r="WOF35" s="233"/>
      <c r="WOG35" s="233"/>
      <c r="WOH35" s="233"/>
      <c r="WOI35" s="231"/>
      <c r="WOJ35" s="231"/>
      <c r="WOK35" s="229"/>
      <c r="WOL35" s="230"/>
      <c r="WOM35" s="231"/>
      <c r="WON35" s="232"/>
      <c r="WOO35" s="233"/>
      <c r="WOP35" s="233"/>
      <c r="WOQ35" s="233"/>
      <c r="WOR35" s="233"/>
      <c r="WOS35" s="233"/>
      <c r="WOT35" s="233"/>
      <c r="WOU35" s="231"/>
      <c r="WOV35" s="231"/>
      <c r="WOW35" s="229"/>
      <c r="WOX35" s="230"/>
      <c r="WOY35" s="231"/>
      <c r="WOZ35" s="232"/>
      <c r="WPA35" s="233"/>
      <c r="WPB35" s="233"/>
      <c r="WPC35" s="233"/>
      <c r="WPD35" s="233"/>
      <c r="WPE35" s="233"/>
      <c r="WPF35" s="233"/>
      <c r="WPG35" s="231"/>
      <c r="WPH35" s="231"/>
      <c r="WPI35" s="229"/>
      <c r="WPJ35" s="230"/>
      <c r="WPK35" s="231"/>
      <c r="WPL35" s="232"/>
      <c r="WPM35" s="233"/>
      <c r="WPN35" s="233"/>
      <c r="WPO35" s="233"/>
      <c r="WPP35" s="233"/>
      <c r="WPQ35" s="233"/>
      <c r="WPR35" s="233"/>
      <c r="WPS35" s="231"/>
      <c r="WPT35" s="231"/>
      <c r="WPU35" s="229"/>
      <c r="WPV35" s="230"/>
      <c r="WPW35" s="231"/>
      <c r="WPX35" s="232"/>
      <c r="WPY35" s="233"/>
      <c r="WPZ35" s="233"/>
      <c r="WQA35" s="233"/>
      <c r="WQB35" s="233"/>
      <c r="WQC35" s="233"/>
      <c r="WQD35" s="233"/>
      <c r="WQE35" s="231"/>
      <c r="WQF35" s="231"/>
      <c r="WQG35" s="229"/>
      <c r="WQH35" s="230"/>
      <c r="WQI35" s="231"/>
      <c r="WQJ35" s="232"/>
      <c r="WQK35" s="233"/>
      <c r="WQL35" s="233"/>
      <c r="WQM35" s="233"/>
      <c r="WQN35" s="233"/>
      <c r="WQO35" s="233"/>
      <c r="WQP35" s="233"/>
      <c r="WQQ35" s="231"/>
      <c r="WQR35" s="231"/>
      <c r="WQS35" s="229"/>
      <c r="WQT35" s="230"/>
      <c r="WQU35" s="231"/>
      <c r="WQV35" s="232"/>
      <c r="WQW35" s="233"/>
      <c r="WQX35" s="233"/>
      <c r="WQY35" s="233"/>
      <c r="WQZ35" s="233"/>
      <c r="WRA35" s="233"/>
      <c r="WRB35" s="233"/>
      <c r="WRC35" s="231"/>
      <c r="WRD35" s="231"/>
      <c r="WRE35" s="229"/>
      <c r="WRF35" s="230"/>
      <c r="WRG35" s="231"/>
      <c r="WRH35" s="232"/>
      <c r="WRI35" s="233"/>
      <c r="WRJ35" s="233"/>
      <c r="WRK35" s="233"/>
      <c r="WRL35" s="233"/>
      <c r="WRM35" s="233"/>
      <c r="WRN35" s="233"/>
      <c r="WRO35" s="231"/>
      <c r="WRP35" s="231"/>
      <c r="WRQ35" s="229"/>
      <c r="WRR35" s="230"/>
      <c r="WRS35" s="231"/>
      <c r="WRT35" s="232"/>
      <c r="WRU35" s="233"/>
      <c r="WRV35" s="233"/>
      <c r="WRW35" s="233"/>
      <c r="WRX35" s="233"/>
      <c r="WRY35" s="233"/>
      <c r="WRZ35" s="233"/>
      <c r="WSA35" s="231"/>
      <c r="WSB35" s="231"/>
      <c r="WSC35" s="229"/>
      <c r="WSD35" s="230"/>
      <c r="WSE35" s="231"/>
      <c r="WSF35" s="232"/>
      <c r="WSG35" s="233"/>
      <c r="WSH35" s="233"/>
      <c r="WSI35" s="233"/>
      <c r="WSJ35" s="233"/>
      <c r="WSK35" s="233"/>
      <c r="WSL35" s="233"/>
      <c r="WSM35" s="231"/>
      <c r="WSN35" s="231"/>
      <c r="WSO35" s="229"/>
      <c r="WSP35" s="230"/>
      <c r="WSQ35" s="231"/>
      <c r="WSR35" s="232"/>
      <c r="WSS35" s="233"/>
      <c r="WST35" s="233"/>
      <c r="WSU35" s="233"/>
      <c r="WSV35" s="233"/>
      <c r="WSW35" s="233"/>
      <c r="WSX35" s="233"/>
      <c r="WSY35" s="231"/>
      <c r="WSZ35" s="231"/>
      <c r="WTA35" s="229"/>
      <c r="WTB35" s="230"/>
      <c r="WTC35" s="231"/>
      <c r="WTD35" s="232"/>
      <c r="WTE35" s="233"/>
      <c r="WTF35" s="233"/>
      <c r="WTG35" s="233"/>
      <c r="WTH35" s="233"/>
      <c r="WTI35" s="233"/>
      <c r="WTJ35" s="233"/>
      <c r="WTK35" s="231"/>
      <c r="WTL35" s="231"/>
      <c r="WTM35" s="229"/>
      <c r="WTN35" s="230"/>
      <c r="WTO35" s="231"/>
      <c r="WTP35" s="232"/>
      <c r="WTQ35" s="233"/>
      <c r="WTR35" s="233"/>
      <c r="WTS35" s="233"/>
      <c r="WTT35" s="233"/>
      <c r="WTU35" s="233"/>
      <c r="WTV35" s="233"/>
      <c r="WTW35" s="231"/>
      <c r="WTX35" s="231"/>
      <c r="WTY35" s="229"/>
      <c r="WTZ35" s="230"/>
      <c r="WUA35" s="231"/>
      <c r="WUB35" s="232"/>
      <c r="WUC35" s="233"/>
      <c r="WUD35" s="233"/>
      <c r="WUE35" s="233"/>
      <c r="WUF35" s="233"/>
      <c r="WUG35" s="233"/>
      <c r="WUH35" s="233"/>
      <c r="WUI35" s="231"/>
      <c r="WUJ35" s="231"/>
      <c r="WUK35" s="229"/>
      <c r="WUL35" s="230"/>
      <c r="WUM35" s="231"/>
      <c r="WUN35" s="232"/>
      <c r="WUO35" s="233"/>
      <c r="WUP35" s="233"/>
      <c r="WUQ35" s="233"/>
      <c r="WUR35" s="233"/>
      <c r="WUS35" s="233"/>
      <c r="WUT35" s="233"/>
      <c r="WUU35" s="231"/>
      <c r="WUV35" s="231"/>
      <c r="WUW35" s="229"/>
      <c r="WUX35" s="230"/>
      <c r="WUY35" s="231"/>
      <c r="WUZ35" s="232"/>
      <c r="WVA35" s="233"/>
      <c r="WVB35" s="233"/>
      <c r="WVC35" s="233"/>
      <c r="WVD35" s="233"/>
      <c r="WVE35" s="233"/>
      <c r="WVF35" s="233"/>
      <c r="WVG35" s="231"/>
      <c r="WVH35" s="231"/>
      <c r="WVI35" s="229"/>
      <c r="WVJ35" s="230"/>
      <c r="WVK35" s="231"/>
      <c r="WVL35" s="232"/>
      <c r="WVM35" s="233"/>
      <c r="WVN35" s="233"/>
      <c r="WVO35" s="233"/>
      <c r="WVP35" s="233"/>
      <c r="WVQ35" s="233"/>
      <c r="WVR35" s="233"/>
      <c r="WVS35" s="231"/>
      <c r="WVT35" s="231"/>
      <c r="WVU35" s="229"/>
      <c r="WVV35" s="230"/>
      <c r="WVW35" s="231"/>
      <c r="WVX35" s="232"/>
      <c r="WVY35" s="233"/>
      <c r="WVZ35" s="233"/>
      <c r="WWA35" s="233"/>
      <c r="WWB35" s="233"/>
      <c r="WWC35" s="233"/>
      <c r="WWD35" s="233"/>
      <c r="WWE35" s="231"/>
      <c r="WWF35" s="231"/>
      <c r="WWG35" s="229"/>
      <c r="WWH35" s="230"/>
      <c r="WWI35" s="231"/>
      <c r="WWJ35" s="232"/>
      <c r="WWK35" s="233"/>
      <c r="WWL35" s="233"/>
      <c r="WWM35" s="233"/>
      <c r="WWN35" s="233"/>
      <c r="WWO35" s="233"/>
      <c r="WWP35" s="233"/>
      <c r="WWQ35" s="231"/>
      <c r="WWR35" s="231"/>
      <c r="WWS35" s="229"/>
      <c r="WWT35" s="230"/>
      <c r="WWU35" s="231"/>
      <c r="WWV35" s="232"/>
      <c r="WWW35" s="233"/>
      <c r="WWX35" s="233"/>
      <c r="WWY35" s="233"/>
      <c r="WWZ35" s="233"/>
      <c r="WXA35" s="233"/>
      <c r="WXB35" s="233"/>
      <c r="WXC35" s="231"/>
      <c r="WXD35" s="231"/>
      <c r="WXE35" s="229"/>
      <c r="WXF35" s="230"/>
      <c r="WXG35" s="231"/>
      <c r="WXH35" s="232"/>
      <c r="WXI35" s="233"/>
      <c r="WXJ35" s="233"/>
      <c r="WXK35" s="233"/>
      <c r="WXL35" s="233"/>
      <c r="WXM35" s="233"/>
      <c r="WXN35" s="233"/>
      <c r="WXO35" s="231"/>
      <c r="WXP35" s="231"/>
      <c r="WXQ35" s="229"/>
      <c r="WXR35" s="230"/>
      <c r="WXS35" s="231"/>
      <c r="WXT35" s="232"/>
      <c r="WXU35" s="233"/>
      <c r="WXV35" s="233"/>
      <c r="WXW35" s="233"/>
      <c r="WXX35" s="233"/>
      <c r="WXY35" s="233"/>
      <c r="WXZ35" s="233"/>
      <c r="WYA35" s="231"/>
      <c r="WYB35" s="231"/>
      <c r="WYC35" s="229"/>
      <c r="WYD35" s="230"/>
      <c r="WYE35" s="231"/>
      <c r="WYF35" s="232"/>
      <c r="WYG35" s="233"/>
      <c r="WYH35" s="233"/>
      <c r="WYI35" s="233"/>
      <c r="WYJ35" s="233"/>
      <c r="WYK35" s="233"/>
      <c r="WYL35" s="233"/>
      <c r="WYM35" s="231"/>
      <c r="WYN35" s="231"/>
      <c r="WYO35" s="229"/>
      <c r="WYP35" s="230"/>
      <c r="WYQ35" s="231"/>
      <c r="WYR35" s="232"/>
      <c r="WYS35" s="233"/>
      <c r="WYT35" s="233"/>
      <c r="WYU35" s="233"/>
      <c r="WYV35" s="233"/>
      <c r="WYW35" s="233"/>
      <c r="WYX35" s="233"/>
      <c r="WYY35" s="231"/>
      <c r="WYZ35" s="231"/>
      <c r="WZA35" s="229"/>
      <c r="WZB35" s="230"/>
      <c r="WZC35" s="231"/>
      <c r="WZD35" s="232"/>
      <c r="WZE35" s="233"/>
      <c r="WZF35" s="233"/>
      <c r="WZG35" s="233"/>
      <c r="WZH35" s="233"/>
      <c r="WZI35" s="233"/>
      <c r="WZJ35" s="233"/>
      <c r="WZK35" s="231"/>
      <c r="WZL35" s="231"/>
      <c r="WZM35" s="229"/>
      <c r="WZN35" s="230"/>
      <c r="WZO35" s="231"/>
      <c r="WZP35" s="232"/>
      <c r="WZQ35" s="233"/>
      <c r="WZR35" s="233"/>
      <c r="WZS35" s="233"/>
      <c r="WZT35" s="233"/>
      <c r="WZU35" s="233"/>
      <c r="WZV35" s="233"/>
      <c r="WZW35" s="231"/>
      <c r="WZX35" s="231"/>
      <c r="WZY35" s="229"/>
      <c r="WZZ35" s="230"/>
      <c r="XAA35" s="231"/>
      <c r="XAB35" s="232"/>
      <c r="XAC35" s="233"/>
      <c r="XAD35" s="233"/>
      <c r="XAE35" s="233"/>
      <c r="XAF35" s="233"/>
      <c r="XAG35" s="233"/>
      <c r="XAH35" s="233"/>
      <c r="XAI35" s="231"/>
      <c r="XAJ35" s="231"/>
      <c r="XAK35" s="229"/>
      <c r="XAL35" s="230"/>
      <c r="XAM35" s="231"/>
      <c r="XAN35" s="232"/>
      <c r="XAO35" s="233"/>
      <c r="XAP35" s="233"/>
      <c r="XAQ35" s="233"/>
      <c r="XAR35" s="233"/>
      <c r="XAS35" s="233"/>
      <c r="XAT35" s="233"/>
      <c r="XAU35" s="231"/>
      <c r="XAV35" s="231"/>
      <c r="XAW35" s="229"/>
      <c r="XAX35" s="230"/>
      <c r="XAY35" s="231"/>
      <c r="XAZ35" s="232"/>
      <c r="XBA35" s="233"/>
      <c r="XBB35" s="233"/>
      <c r="XBC35" s="233"/>
      <c r="XBD35" s="233"/>
      <c r="XBE35" s="233"/>
      <c r="XBF35" s="233"/>
      <c r="XBG35" s="231"/>
      <c r="XBH35" s="231"/>
      <c r="XBI35" s="229"/>
      <c r="XBJ35" s="230"/>
      <c r="XBK35" s="231"/>
      <c r="XBL35" s="232"/>
      <c r="XBM35" s="233"/>
      <c r="XBN35" s="233"/>
      <c r="XBO35" s="233"/>
      <c r="XBP35" s="233"/>
      <c r="XBQ35" s="233"/>
      <c r="XBR35" s="233"/>
      <c r="XBS35" s="231"/>
      <c r="XBT35" s="231"/>
      <c r="XBU35" s="229"/>
      <c r="XBV35" s="230"/>
      <c r="XBW35" s="231"/>
      <c r="XBX35" s="232"/>
      <c r="XBY35" s="233"/>
      <c r="XBZ35" s="233"/>
      <c r="XCA35" s="233"/>
      <c r="XCB35" s="233"/>
      <c r="XCC35" s="233"/>
      <c r="XCD35" s="233"/>
      <c r="XCE35" s="231"/>
      <c r="XCF35" s="231"/>
      <c r="XCG35" s="229"/>
      <c r="XCH35" s="230"/>
      <c r="XCI35" s="231"/>
      <c r="XCJ35" s="232"/>
      <c r="XCK35" s="233"/>
      <c r="XCL35" s="233"/>
      <c r="XCM35" s="233"/>
      <c r="XCN35" s="233"/>
      <c r="XCO35" s="233"/>
      <c r="XCP35" s="233"/>
      <c r="XCQ35" s="231"/>
      <c r="XCR35" s="231"/>
      <c r="XCS35" s="229"/>
      <c r="XCT35" s="230"/>
      <c r="XCU35" s="231"/>
      <c r="XCV35" s="232"/>
      <c r="XCW35" s="233"/>
      <c r="XCX35" s="233"/>
      <c r="XCY35" s="233"/>
      <c r="XCZ35" s="233"/>
      <c r="XDA35" s="233"/>
      <c r="XDB35" s="233"/>
      <c r="XDC35" s="231"/>
      <c r="XDD35" s="231"/>
      <c r="XDE35" s="229"/>
      <c r="XDF35" s="230"/>
      <c r="XDG35" s="231"/>
      <c r="XDH35" s="232"/>
      <c r="XDI35" s="233"/>
      <c r="XDJ35" s="233"/>
      <c r="XDK35" s="233"/>
      <c r="XDL35" s="233"/>
      <c r="XDM35" s="233"/>
      <c r="XDN35" s="233"/>
      <c r="XDO35" s="231"/>
      <c r="XDP35" s="231"/>
      <c r="XDQ35" s="229"/>
      <c r="XDR35" s="230"/>
      <c r="XDS35" s="231"/>
      <c r="XDT35" s="232"/>
      <c r="XDU35" s="233"/>
      <c r="XDV35" s="233"/>
      <c r="XDW35" s="233"/>
      <c r="XDX35" s="233"/>
      <c r="XDY35" s="233"/>
      <c r="XDZ35" s="233"/>
      <c r="XEA35" s="231"/>
      <c r="XEB35" s="231"/>
      <c r="XEC35" s="229"/>
      <c r="XED35" s="230"/>
      <c r="XEE35" s="231"/>
      <c r="XEF35" s="232"/>
      <c r="XEG35" s="233"/>
      <c r="XEH35" s="233"/>
      <c r="XEI35" s="233"/>
      <c r="XEJ35" s="233"/>
      <c r="XEK35" s="233"/>
      <c r="XEL35" s="233"/>
      <c r="XEM35" s="231"/>
      <c r="XEN35" s="231"/>
      <c r="XEO35" s="229"/>
      <c r="XEP35" s="230"/>
      <c r="XEQ35" s="231"/>
      <c r="XER35" s="232"/>
      <c r="XES35" s="233"/>
      <c r="XET35" s="233"/>
      <c r="XEU35" s="233"/>
      <c r="XEV35" s="233"/>
      <c r="XEW35" s="233"/>
      <c r="XEX35" s="233"/>
      <c r="XEY35" s="231"/>
      <c r="XEZ35" s="231"/>
      <c r="XFA35" s="229"/>
      <c r="XFB35" s="230"/>
      <c r="XFC35" s="231"/>
      <c r="XFD35" s="232"/>
    </row>
    <row r="36" spans="1:16384" s="381" customFormat="1" ht="7.45" customHeight="1">
      <c r="A36" s="19"/>
      <c r="B36" s="19"/>
      <c r="C36" s="19"/>
      <c r="D36" s="111"/>
      <c r="E36" s="19"/>
      <c r="F36" s="19"/>
      <c r="G36" s="19"/>
      <c r="H36" s="19"/>
      <c r="I36" s="19"/>
      <c r="J36" s="19"/>
      <c r="K36" s="518"/>
      <c r="L36" s="236"/>
      <c r="N36" s="252"/>
      <c r="O36" s="252"/>
      <c r="P36" s="252"/>
      <c r="Q36" s="252"/>
      <c r="R36" s="252"/>
      <c r="S36" s="252"/>
      <c r="T36" s="252"/>
      <c r="U36" s="252"/>
      <c r="V36" s="252"/>
    </row>
    <row r="37" spans="1:16384" s="381" customFormat="1" ht="38.6">
      <c r="A37" s="114" t="s">
        <v>210</v>
      </c>
      <c r="B37" s="1" t="s">
        <v>175</v>
      </c>
      <c r="C37" s="2" t="s">
        <v>176</v>
      </c>
      <c r="D37" s="108" t="s">
        <v>177</v>
      </c>
      <c r="E37" s="107" t="s">
        <v>0</v>
      </c>
      <c r="F37" s="1" t="s">
        <v>1</v>
      </c>
      <c r="G37" s="1" t="s">
        <v>2</v>
      </c>
      <c r="H37" s="1" t="s">
        <v>3</v>
      </c>
      <c r="I37" s="1" t="s">
        <v>4</v>
      </c>
      <c r="J37" s="1" t="s">
        <v>34</v>
      </c>
      <c r="K37" s="277" t="s">
        <v>5</v>
      </c>
      <c r="L37" s="237"/>
      <c r="N37" s="252"/>
      <c r="O37" s="252"/>
      <c r="P37" s="252"/>
      <c r="Q37" s="252"/>
      <c r="R37" s="252"/>
      <c r="S37" s="252"/>
      <c r="T37" s="252"/>
      <c r="U37" s="252"/>
      <c r="V37" s="252"/>
    </row>
    <row r="38" spans="1:16384" s="381" customFormat="1">
      <c r="A38" s="268" t="s">
        <v>211</v>
      </c>
      <c r="B38" s="115" t="s">
        <v>182</v>
      </c>
      <c r="C38" s="116">
        <f>CPC!E40</f>
        <v>349</v>
      </c>
      <c r="D38" s="117">
        <f>CPC!F40</f>
        <v>357</v>
      </c>
      <c r="E38" s="116">
        <f>CPC!G40</f>
        <v>0</v>
      </c>
      <c r="F38" s="116">
        <f>CPC!H40</f>
        <v>357</v>
      </c>
      <c r="G38" s="116">
        <f>CPC!I40</f>
        <v>0</v>
      </c>
      <c r="H38" s="116">
        <f>CPC!J40</f>
        <v>0</v>
      </c>
      <c r="I38" s="116">
        <f>CPC!K40</f>
        <v>0</v>
      </c>
      <c r="J38" s="116">
        <v>0</v>
      </c>
      <c r="K38" s="136">
        <f t="shared" ref="K38:K53" si="13">SUM(E38:J38)</f>
        <v>357</v>
      </c>
      <c r="L38" s="233">
        <f>(K38*-$M$2)+K38</f>
        <v>357</v>
      </c>
      <c r="N38" s="252"/>
      <c r="O38" s="252"/>
      <c r="P38" s="252"/>
      <c r="Q38" s="252"/>
      <c r="R38" s="252"/>
      <c r="S38" s="252"/>
      <c r="T38" s="252"/>
      <c r="U38" s="252"/>
      <c r="V38" s="252"/>
    </row>
    <row r="39" spans="1:16384" s="381" customFormat="1">
      <c r="A39" s="118" t="s">
        <v>212</v>
      </c>
      <c r="B39" s="119"/>
      <c r="C39" s="120"/>
      <c r="D39" s="121">
        <f>CPC!F41</f>
        <v>0</v>
      </c>
      <c r="E39" s="120">
        <f>-CPC!G44</f>
        <v>-142.08600000000001</v>
      </c>
      <c r="F39" s="120">
        <f>(-CPC!H44)+0.2</f>
        <v>-149.66860000000003</v>
      </c>
      <c r="G39" s="120">
        <f>-CPC!I44</f>
        <v>-43.411200000000001</v>
      </c>
      <c r="H39" s="120">
        <f>-CPC!J44</f>
        <v>-21.6342</v>
      </c>
      <c r="I39" s="120">
        <f>CPC!K46</f>
        <v>0</v>
      </c>
      <c r="J39" s="120">
        <v>0</v>
      </c>
      <c r="K39" s="137">
        <f t="shared" si="13"/>
        <v>-356.80000000000007</v>
      </c>
      <c r="L39" s="235"/>
      <c r="N39" s="252"/>
      <c r="O39" s="252"/>
      <c r="P39" s="252"/>
      <c r="Q39" s="252"/>
      <c r="R39" s="252"/>
      <c r="S39" s="252"/>
      <c r="T39" s="252"/>
      <c r="U39" s="252"/>
      <c r="V39" s="252"/>
    </row>
    <row r="40" spans="1:16384" s="381" customFormat="1">
      <c r="A40" s="268" t="s">
        <v>213</v>
      </c>
      <c r="B40" s="115" t="s">
        <v>182</v>
      </c>
      <c r="C40" s="271">
        <f>+FIRES!K61</f>
        <v>471.23040188736547</v>
      </c>
      <c r="D40" s="272">
        <f>+FIRES!K54</f>
        <v>492.7405</v>
      </c>
      <c r="E40" s="116">
        <f>FIRES!G42*'Prep%Fuelspercentage.direct'!$C38</f>
        <v>0</v>
      </c>
      <c r="F40" s="116">
        <f>+FIRES!K54</f>
        <v>492.7405</v>
      </c>
      <c r="G40" s="116">
        <f>FIRES!I42*'Prep%Fuelspercentage.direct'!$B38</f>
        <v>0</v>
      </c>
      <c r="H40" s="116">
        <f>FIRES!J42*'Prep%Fuelspercentage.direct'!$B38</f>
        <v>0</v>
      </c>
      <c r="I40" s="116">
        <f>FIRES!K42*'Prep%Fuelspercentage.direct'!$B38</f>
        <v>0</v>
      </c>
      <c r="J40" s="116">
        <v>0</v>
      </c>
      <c r="K40" s="136">
        <f t="shared" si="13"/>
        <v>492.7405</v>
      </c>
      <c r="L40" s="233">
        <f>(K40*-$M$2)+K40</f>
        <v>492.7405</v>
      </c>
      <c r="M40" s="252"/>
      <c r="N40" s="252"/>
      <c r="O40" s="252"/>
      <c r="P40" s="252"/>
      <c r="Q40" s="252"/>
      <c r="R40" s="252"/>
      <c r="S40" s="252"/>
      <c r="T40" s="252"/>
      <c r="U40" s="252"/>
      <c r="V40" s="252"/>
    </row>
    <row r="41" spans="1:16384" s="381" customFormat="1">
      <c r="A41" s="118" t="s">
        <v>212</v>
      </c>
      <c r="B41" s="119"/>
      <c r="C41" s="120"/>
      <c r="D41" s="121">
        <f>FIRES!F47</f>
        <v>0</v>
      </c>
      <c r="E41" s="120">
        <f>-FIRES!G46*'Prep%Fuelspercentage.direct'!$B38</f>
        <v>0</v>
      </c>
      <c r="F41" s="120">
        <f>-FIRES!H54</f>
        <v>-285.78949</v>
      </c>
      <c r="G41" s="120">
        <f>-FIRES!I54</f>
        <v>-59.128859999999996</v>
      </c>
      <c r="H41" s="120">
        <f>-FIRES!J54</f>
        <v>-147.82214999999999</v>
      </c>
      <c r="I41" s="120">
        <f>FIRES!K46*'Prep%Fuelspercentage.direct'!$B38</f>
        <v>0</v>
      </c>
      <c r="J41" s="120">
        <v>0</v>
      </c>
      <c r="K41" s="137">
        <f t="shared" si="13"/>
        <v>-492.7405</v>
      </c>
      <c r="L41" s="238"/>
      <c r="N41" s="252"/>
      <c r="O41" s="252"/>
      <c r="P41" s="252"/>
      <c r="Q41" s="252"/>
      <c r="R41" s="252"/>
      <c r="S41" s="252"/>
      <c r="T41" s="252"/>
      <c r="U41" s="252"/>
      <c r="V41" s="252"/>
    </row>
    <row r="42" spans="1:16384" s="381" customFormat="1">
      <c r="A42" s="268" t="s">
        <v>214</v>
      </c>
      <c r="B42" s="115" t="s">
        <v>182</v>
      </c>
      <c r="C42" s="116">
        <f>'Med Standards Exams'!E40</f>
        <v>3242</v>
      </c>
      <c r="D42" s="117">
        <f>'Med Standards Exams'!F40</f>
        <v>1745</v>
      </c>
      <c r="E42" s="116">
        <f>'Med Standards Exams'!G40</f>
        <v>0</v>
      </c>
      <c r="F42" s="116">
        <f>'Med Standards Exams'!H40</f>
        <v>1745</v>
      </c>
      <c r="G42" s="116">
        <f>'Med Standards Exams'!I40</f>
        <v>0</v>
      </c>
      <c r="H42" s="116">
        <f>'Med Standards Exams'!J40</f>
        <v>0</v>
      </c>
      <c r="I42" s="116">
        <f>'Med Standards Exams'!K40</f>
        <v>0</v>
      </c>
      <c r="J42" s="116">
        <f>'Med Standards Exams'!L40</f>
        <v>0</v>
      </c>
      <c r="K42" s="136">
        <f t="shared" si="13"/>
        <v>1745</v>
      </c>
      <c r="L42" s="233">
        <f>(K42*-$M$2)+K42</f>
        <v>1745</v>
      </c>
      <c r="N42" s="252"/>
      <c r="O42" s="252"/>
      <c r="P42" s="252"/>
      <c r="Q42" s="252"/>
      <c r="R42" s="252"/>
      <c r="S42" s="252"/>
      <c r="T42" s="252"/>
      <c r="U42" s="252"/>
      <c r="V42" s="252"/>
    </row>
    <row r="43" spans="1:16384" s="381" customFormat="1">
      <c r="A43" s="122" t="s">
        <v>212</v>
      </c>
      <c r="B43" s="123"/>
      <c r="C43" s="124">
        <v>0</v>
      </c>
      <c r="D43" s="109"/>
      <c r="E43" s="124">
        <f>-'Med Standards Exams'!G44</f>
        <v>-433.45800000000003</v>
      </c>
      <c r="F43" s="124">
        <f>(-'Med Standards Exams'!H44)-0.4</f>
        <v>-666.99</v>
      </c>
      <c r="G43" s="124">
        <f>-'Med Standards Exams'!I44</f>
        <v>-240.28649999999999</v>
      </c>
      <c r="H43" s="124">
        <f>(-'Med Standards Exams'!J44)</f>
        <v>-404.31649999999996</v>
      </c>
      <c r="I43" s="124">
        <f>-'Med Standards Exams'!K44</f>
        <v>0</v>
      </c>
      <c r="J43" s="124">
        <v>0</v>
      </c>
      <c r="K43" s="138">
        <f t="shared" si="13"/>
        <v>-1745.0509999999999</v>
      </c>
      <c r="L43" s="349"/>
      <c r="N43" s="252"/>
      <c r="O43" s="252"/>
      <c r="P43" s="252"/>
      <c r="Q43" s="252"/>
      <c r="R43" s="252"/>
      <c r="S43" s="252"/>
      <c r="T43" s="252"/>
      <c r="U43" s="252"/>
      <c r="V43" s="252"/>
    </row>
    <row r="44" spans="1:16384" s="381" customFormat="1">
      <c r="A44" s="268" t="s">
        <v>215</v>
      </c>
      <c r="B44" s="115" t="s">
        <v>216</v>
      </c>
      <c r="C44" s="116">
        <f>'Misc and one-time - Prep'!E38</f>
        <v>442</v>
      </c>
      <c r="D44" s="117">
        <f>+'Misc and one-time - Prep'!F51</f>
        <v>573</v>
      </c>
      <c r="E44" s="116">
        <f>'Misc and one-time - Prep'!G38</f>
        <v>0</v>
      </c>
      <c r="F44" s="116">
        <f>'Misc and one-time - Prep'!H38</f>
        <v>384</v>
      </c>
      <c r="G44" s="116">
        <f>'Misc and one-time - Prep'!I38</f>
        <v>0</v>
      </c>
      <c r="H44" s="116">
        <f>'Misc and one-time - Prep'!J38</f>
        <v>0</v>
      </c>
      <c r="I44" s="116">
        <f>'Misc and one-time - Prep'!K38</f>
        <v>75</v>
      </c>
      <c r="J44" s="116">
        <f>'Misc and one-time - Prep'!L38</f>
        <v>114</v>
      </c>
      <c r="K44" s="136">
        <f t="shared" si="13"/>
        <v>573</v>
      </c>
      <c r="L44" s="233">
        <f>(K44*-$M$2)+K44</f>
        <v>573</v>
      </c>
      <c r="N44" s="252"/>
      <c r="O44" s="252"/>
      <c r="P44" s="252"/>
      <c r="Q44" s="252"/>
      <c r="R44" s="252"/>
      <c r="S44" s="252"/>
      <c r="T44" s="252"/>
      <c r="U44" s="252"/>
      <c r="V44" s="252"/>
    </row>
    <row r="45" spans="1:16384" s="381" customFormat="1">
      <c r="A45" s="118" t="s">
        <v>212</v>
      </c>
      <c r="B45" s="119"/>
      <c r="C45" s="120"/>
      <c r="D45" s="121">
        <f>'Misc and one-time - Prep'!E39</f>
        <v>0</v>
      </c>
      <c r="E45" s="120">
        <f>-'Misc and one-time - Prep'!G51</f>
        <v>-196.02</v>
      </c>
      <c r="F45" s="120">
        <f>-'Misc and one-time - Prep'!H51</f>
        <v>-120.75</v>
      </c>
      <c r="G45" s="120">
        <f>-'Misc and one-time - Prep'!I51</f>
        <v>-99.88</v>
      </c>
      <c r="H45" s="120">
        <f>-'Misc and one-time - Prep'!J51</f>
        <v>-141.35</v>
      </c>
      <c r="I45" s="120">
        <f>-'Misc and one-time - Prep'!K51</f>
        <v>-15</v>
      </c>
      <c r="J45" s="120">
        <v>0</v>
      </c>
      <c r="K45" s="137">
        <f t="shared" si="13"/>
        <v>-573</v>
      </c>
      <c r="L45" s="238"/>
      <c r="N45" s="252"/>
    </row>
    <row r="46" spans="1:16384" s="381" customFormat="1">
      <c r="A46" s="268" t="s">
        <v>217</v>
      </c>
      <c r="B46" s="115" t="s">
        <v>182</v>
      </c>
      <c r="C46" s="116">
        <f>'NIFC Site &amp; Admin'!E39</f>
        <v>504</v>
      </c>
      <c r="D46" s="117">
        <f>'NIFC Site &amp; Admin'!F39</f>
        <v>607</v>
      </c>
      <c r="E46" s="116">
        <f>'NIFC Site &amp; Admin'!G39</f>
        <v>0</v>
      </c>
      <c r="F46" s="116">
        <f>'NIFC Site &amp; Admin'!H39</f>
        <v>607</v>
      </c>
      <c r="G46" s="116">
        <f>'NIFC Site &amp; Admin'!I39</f>
        <v>0</v>
      </c>
      <c r="H46" s="116">
        <f>'NIFC Site &amp; Admin'!J39</f>
        <v>0</v>
      </c>
      <c r="I46" s="116">
        <f>'NIFC Site &amp; Admin'!K39</f>
        <v>0</v>
      </c>
      <c r="J46" s="116">
        <f>'NIFC Site &amp; Admin'!L39</f>
        <v>0</v>
      </c>
      <c r="K46" s="136">
        <f>SUM(E46:J46)</f>
        <v>607</v>
      </c>
      <c r="L46" s="233">
        <f>(K46*-$M$2)+K46</f>
        <v>607</v>
      </c>
      <c r="N46" s="252"/>
    </row>
    <row r="47" spans="1:16384" s="381" customFormat="1">
      <c r="A47" s="118" t="s">
        <v>212</v>
      </c>
      <c r="B47" s="119"/>
      <c r="C47" s="120"/>
      <c r="D47" s="121">
        <f>'NIFC Site &amp; Admin'!F38</f>
        <v>0</v>
      </c>
      <c r="E47" s="120">
        <f>(-'NIFC Site &amp; Admin'!G43)-0.2</f>
        <v>-239.2</v>
      </c>
      <c r="F47" s="120">
        <f>-'NIFC Site &amp; Admin'!H43</f>
        <v>0</v>
      </c>
      <c r="G47" s="120">
        <f>-'NIFC Site &amp; Admin'!I43</f>
        <v>-155</v>
      </c>
      <c r="H47" s="120">
        <f>-'NIFC Site &amp; Admin'!J43</f>
        <v>-213</v>
      </c>
      <c r="I47" s="120">
        <f>-'NIFC Site &amp; Admin'!K43</f>
        <v>0</v>
      </c>
      <c r="J47" s="120">
        <f>-'NIFC Site &amp; Admin'!L43</f>
        <v>0</v>
      </c>
      <c r="K47" s="137">
        <f>SUM(E47:J47)</f>
        <v>-607.20000000000005</v>
      </c>
      <c r="L47" s="235"/>
      <c r="N47" s="252"/>
    </row>
    <row r="48" spans="1:16384" s="381" customFormat="1">
      <c r="A48" s="268" t="s">
        <v>218</v>
      </c>
      <c r="B48" s="115" t="s">
        <v>182</v>
      </c>
      <c r="C48" s="116">
        <f>'NWCG Staff'!E60</f>
        <v>2387</v>
      </c>
      <c r="D48" s="117">
        <f>'NWCG Staff'!F60</f>
        <v>2374.66</v>
      </c>
      <c r="E48" s="116">
        <f>'NWCG Staff'!G59</f>
        <v>128</v>
      </c>
      <c r="F48" s="116">
        <f>'NWCG Staff'!H59+'NWCG Staff'!M64</f>
        <v>1826.6599999999999</v>
      </c>
      <c r="G48" s="116">
        <f>'NWCG Staff'!I59</f>
        <v>0</v>
      </c>
      <c r="H48" s="116">
        <f>'NWCG Staff'!J59</f>
        <v>420</v>
      </c>
      <c r="I48" s="116">
        <f>'NWCG Staff'!K59</f>
        <v>0</v>
      </c>
      <c r="J48" s="116">
        <v>0</v>
      </c>
      <c r="K48" s="136">
        <f t="shared" si="13"/>
        <v>2374.66</v>
      </c>
      <c r="L48" s="233">
        <f>(K48*-$M$2)+K48</f>
        <v>2374.66</v>
      </c>
      <c r="N48" s="252"/>
    </row>
    <row r="49" spans="1:16384" s="381" customFormat="1">
      <c r="A49" s="118" t="s">
        <v>212</v>
      </c>
      <c r="B49" s="119"/>
      <c r="C49" s="120"/>
      <c r="D49" s="121">
        <f>'NIFC Site &amp; Admin'!F40</f>
        <v>0</v>
      </c>
      <c r="E49" s="120">
        <f>-'NWCG Staff'!G63</f>
        <v>-320.90000000000003</v>
      </c>
      <c r="F49" s="120">
        <f>-'NWCG Staff'!H63</f>
        <v>-1764.95</v>
      </c>
      <c r="G49" s="120">
        <f>-'NWCG Staff'!I63</f>
        <v>-160.45000000000002</v>
      </c>
      <c r="H49" s="120">
        <f>-'NWCG Staff'!J63</f>
        <v>-128.36000000000001</v>
      </c>
      <c r="I49" s="120">
        <f>-'NWCG Staff'!K63</f>
        <v>0</v>
      </c>
      <c r="J49" s="120">
        <f>-'NWCG Staff'!L63</f>
        <v>0</v>
      </c>
      <c r="K49" s="137">
        <f t="shared" si="13"/>
        <v>-2374.66</v>
      </c>
      <c r="L49" s="235"/>
      <c r="N49" s="252"/>
    </row>
    <row r="50" spans="1:16384" s="381" customFormat="1">
      <c r="A50" s="268" t="s">
        <v>219</v>
      </c>
      <c r="B50" s="115" t="s">
        <v>182</v>
      </c>
      <c r="C50" s="116">
        <f>'NWCG Prep Projects'!E37</f>
        <v>597</v>
      </c>
      <c r="D50" s="117">
        <f>'NWCG Prep Projects'!F37</f>
        <v>450.40000000000003</v>
      </c>
      <c r="E50" s="116">
        <f>'NWCG Prep Projects'!G36</f>
        <v>0</v>
      </c>
      <c r="F50" s="116">
        <f>'NWCG Prep Projects'!H36+'NWCG Prep Projects'!M41</f>
        <v>350.4</v>
      </c>
      <c r="G50" s="116">
        <f>'NWCG Prep Projects'!I36</f>
        <v>0</v>
      </c>
      <c r="H50" s="116">
        <f>'NWCG Prep Projects'!J36</f>
        <v>0</v>
      </c>
      <c r="I50" s="116">
        <f>'NWCG Prep Projects'!K36-'NWCG Prep Projects'!B48</f>
        <v>100</v>
      </c>
      <c r="J50" s="116">
        <f>'NWCG Prep Projects'!L36</f>
        <v>0</v>
      </c>
      <c r="K50" s="136">
        <f>SUM(E50:J50)</f>
        <v>450.4</v>
      </c>
      <c r="L50" s="233">
        <f>(K50*-$M$2)+K50</f>
        <v>450.4</v>
      </c>
      <c r="N50" s="252"/>
    </row>
    <row r="51" spans="1:16384" s="381" customFormat="1">
      <c r="A51" s="118" t="s">
        <v>212</v>
      </c>
      <c r="B51" s="119"/>
      <c r="C51" s="120"/>
      <c r="D51" s="121">
        <f>'NIFC Site &amp; Admin'!F42</f>
        <v>0</v>
      </c>
      <c r="E51" s="120">
        <f>-'NWCG Prep Projects'!G40</f>
        <v>-90.08</v>
      </c>
      <c r="F51" s="120">
        <f>-'NWCG Prep Projects'!H40</f>
        <v>-258.98</v>
      </c>
      <c r="G51" s="120">
        <f>-'NWCG Prep Projects'!I40</f>
        <v>-56.300000000000004</v>
      </c>
      <c r="H51" s="120">
        <f>-'NWCG Prep Projects'!J40</f>
        <v>-45.04</v>
      </c>
      <c r="I51" s="120">
        <f>-'NWCG Prep Projects'!K40</f>
        <v>0</v>
      </c>
      <c r="J51" s="120">
        <f>-'NWCG Prep Projects'!L40</f>
        <v>0</v>
      </c>
      <c r="K51" s="137">
        <f>SUM(E51:J51)</f>
        <v>-450.40000000000003</v>
      </c>
      <c r="L51" s="235"/>
      <c r="N51" s="252"/>
    </row>
    <row r="52" spans="1:16384" s="381" customFormat="1">
      <c r="A52" s="268" t="s">
        <v>220</v>
      </c>
      <c r="B52" s="115" t="s">
        <v>182</v>
      </c>
      <c r="C52" s="116">
        <f>'RSFWSU (RAWS) SLA'!E39</f>
        <v>239</v>
      </c>
      <c r="D52" s="117">
        <f>ROUND('RSFWSU (RAWS) SLA'!F39,0)</f>
        <v>242</v>
      </c>
      <c r="E52" s="116">
        <f>'RSFWSU (RAWS) SLA'!G39</f>
        <v>0</v>
      </c>
      <c r="F52" s="116">
        <f>ROUND('RSFWSU (RAWS) SLA'!H39,0)</f>
        <v>242</v>
      </c>
      <c r="G52" s="116">
        <f>'RSFWSU (RAWS) SLA'!I39</f>
        <v>0</v>
      </c>
      <c r="H52" s="116">
        <f>'RSFWSU (RAWS) SLA'!J39</f>
        <v>0</v>
      </c>
      <c r="I52" s="116">
        <v>0</v>
      </c>
      <c r="J52" s="116">
        <v>0</v>
      </c>
      <c r="K52" s="136">
        <f t="shared" si="13"/>
        <v>242</v>
      </c>
      <c r="L52" s="233">
        <f>(K52*-$M$2)+K52</f>
        <v>242</v>
      </c>
      <c r="N52" s="252"/>
    </row>
    <row r="53" spans="1:16384" s="381" customFormat="1">
      <c r="A53" s="118" t="s">
        <v>212</v>
      </c>
      <c r="B53" s="119"/>
      <c r="C53" s="120"/>
      <c r="D53" s="121"/>
      <c r="E53" s="120">
        <f>ROUND(-'RSFWSU (RAWS) SLA'!G43,0)</f>
        <v>0</v>
      </c>
      <c r="F53" s="120">
        <f>ROUND(-'RSFWSU (RAWS) SLA'!H43,0)</f>
        <v>0</v>
      </c>
      <c r="G53" s="120">
        <f>ROUND(-'RSFWSU (RAWS) SLA'!I43,0)</f>
        <v>-87</v>
      </c>
      <c r="H53" s="120">
        <f>ROUND(-'RSFWSU (RAWS) SLA'!J43,0)</f>
        <v>-155</v>
      </c>
      <c r="I53" s="120">
        <f>-'RSFWSU (RAWS) SLA'!K43</f>
        <v>0</v>
      </c>
      <c r="J53" s="120">
        <f>-'RSFWSU (RAWS) SLA'!L43</f>
        <v>0</v>
      </c>
      <c r="K53" s="137">
        <f t="shared" si="13"/>
        <v>-242</v>
      </c>
      <c r="L53" s="235"/>
      <c r="N53" s="252"/>
    </row>
    <row r="54" spans="1:16384" s="381" customFormat="1">
      <c r="A54" s="396" t="s">
        <v>221</v>
      </c>
      <c r="B54" s="123" t="s">
        <v>182</v>
      </c>
      <c r="C54" s="273">
        <f>+FireNET.Licensing!E46</f>
        <v>265</v>
      </c>
      <c r="D54" s="109">
        <f>+I54</f>
        <v>265</v>
      </c>
      <c r="E54" s="124">
        <v>0</v>
      </c>
      <c r="F54" s="124">
        <v>0</v>
      </c>
      <c r="G54" s="124">
        <v>0</v>
      </c>
      <c r="H54" s="124">
        <v>0</v>
      </c>
      <c r="I54" s="124">
        <f>+FireNET.Licensing!F46</f>
        <v>265</v>
      </c>
      <c r="J54" s="124">
        <v>0</v>
      </c>
      <c r="K54" s="136">
        <f>SUM(E54:J54)</f>
        <v>265</v>
      </c>
      <c r="L54" s="233">
        <f>(K54*-$M$2)+K54</f>
        <v>265</v>
      </c>
      <c r="N54" s="252"/>
    </row>
    <row r="55" spans="1:16384" s="381" customFormat="1">
      <c r="A55" s="118" t="s">
        <v>212</v>
      </c>
      <c r="B55" s="119"/>
      <c r="C55" s="120"/>
      <c r="D55" s="121"/>
      <c r="E55" s="120">
        <f>-FireNET.Licensing!G45</f>
        <v>-21</v>
      </c>
      <c r="F55" s="120">
        <f>-FireNET.Licensing!H45</f>
        <v>-155</v>
      </c>
      <c r="G55" s="120">
        <f>-FireNET.Licensing!I45</f>
        <v>-32</v>
      </c>
      <c r="H55" s="120">
        <f>-FireNET.Licensing!J45</f>
        <v>-57</v>
      </c>
      <c r="I55" s="120">
        <f>-FireNET.Licensing!K45</f>
        <v>0</v>
      </c>
      <c r="J55" s="120">
        <f>-FireNET.Licensing!L45</f>
        <v>0</v>
      </c>
      <c r="K55" s="137">
        <f>SUM(E55:J55)</f>
        <v>-265</v>
      </c>
      <c r="L55" s="235"/>
      <c r="N55" s="252"/>
    </row>
    <row r="56" spans="1:16384" s="381" customFormat="1">
      <c r="A56" s="139" t="s">
        <v>222</v>
      </c>
      <c r="B56" s="123"/>
      <c r="C56" s="126">
        <f t="shared" ref="C56:J56" si="14">SUM(C38:C55)</f>
        <v>8496.2304018873656</v>
      </c>
      <c r="D56" s="110">
        <f t="shared" si="14"/>
        <v>7106.8004999999994</v>
      </c>
      <c r="E56" s="126">
        <f t="shared" si="14"/>
        <v>-1314.7440000000001</v>
      </c>
      <c r="F56" s="126">
        <f t="shared" si="14"/>
        <v>2602.6724100000001</v>
      </c>
      <c r="G56" s="126">
        <f t="shared" si="14"/>
        <v>-933.45655999999997</v>
      </c>
      <c r="H56" s="126">
        <f t="shared" si="14"/>
        <v>-893.52284999999995</v>
      </c>
      <c r="I56" s="126">
        <f t="shared" si="14"/>
        <v>425</v>
      </c>
      <c r="J56" s="126">
        <f t="shared" si="14"/>
        <v>114</v>
      </c>
      <c r="K56" s="136">
        <f>SUM(K38:K53)</f>
        <v>-5.1000000000442469E-2</v>
      </c>
      <c r="L56" s="402"/>
      <c r="N56" s="252"/>
    </row>
    <row r="57" spans="1:16384" s="381" customFormat="1">
      <c r="A57" s="229" t="s">
        <v>197</v>
      </c>
      <c r="B57" s="230"/>
      <c r="C57" s="231"/>
      <c r="D57" s="232"/>
      <c r="E57" s="397">
        <f t="shared" ref="E57:J57" si="15">(E56*-$M$2)+E56</f>
        <v>-1314.7440000000001</v>
      </c>
      <c r="F57" s="398">
        <f t="shared" si="15"/>
        <v>2602.6724100000001</v>
      </c>
      <c r="G57" s="398">
        <f t="shared" si="15"/>
        <v>-933.45655999999997</v>
      </c>
      <c r="H57" s="398">
        <f t="shared" si="15"/>
        <v>-893.52284999999995</v>
      </c>
      <c r="I57" s="398">
        <f t="shared" si="15"/>
        <v>425</v>
      </c>
      <c r="J57" s="398">
        <f t="shared" si="15"/>
        <v>114</v>
      </c>
      <c r="K57" s="235">
        <f>SUM(E57:J57)</f>
        <v>-5.0999999999930878E-2</v>
      </c>
      <c r="L57" s="349"/>
      <c r="M57" s="399"/>
      <c r="N57" s="400"/>
      <c r="O57" s="401"/>
      <c r="P57" s="182"/>
      <c r="Q57" s="182"/>
      <c r="R57" s="182"/>
      <c r="S57" s="182"/>
      <c r="T57" s="182"/>
      <c r="U57" s="182"/>
      <c r="V57" s="182"/>
      <c r="W57" s="182"/>
      <c r="X57" s="401"/>
      <c r="Y57" s="399"/>
      <c r="Z57" s="182"/>
      <c r="AA57" s="401"/>
      <c r="AB57" s="401"/>
      <c r="AC57" s="401"/>
      <c r="AD57" s="401"/>
      <c r="AE57" s="401"/>
      <c r="AF57" s="401"/>
      <c r="AG57" s="401"/>
      <c r="AH57" s="401"/>
      <c r="AI57" s="401"/>
      <c r="AJ57" s="401"/>
      <c r="AK57" s="399"/>
      <c r="AL57" s="182"/>
      <c r="AM57" s="401"/>
      <c r="AN57" s="401"/>
      <c r="AO57" s="401"/>
      <c r="AP57" s="401"/>
      <c r="AQ57" s="401"/>
      <c r="AR57" s="401"/>
      <c r="AS57" s="401"/>
      <c r="AT57" s="401"/>
      <c r="AU57" s="401"/>
      <c r="AV57" s="401"/>
      <c r="AW57" s="399"/>
      <c r="AX57" s="182"/>
      <c r="AY57" s="401"/>
      <c r="AZ57" s="401"/>
      <c r="BA57" s="401"/>
      <c r="BB57" s="401"/>
      <c r="BC57" s="401"/>
      <c r="BD57" s="401"/>
      <c r="BE57" s="401"/>
      <c r="BF57" s="401"/>
      <c r="BG57" s="401"/>
      <c r="BH57" s="401"/>
      <c r="BI57" s="399"/>
      <c r="BJ57" s="182"/>
      <c r="BK57" s="401"/>
      <c r="BL57" s="401"/>
      <c r="BM57" s="401"/>
      <c r="BN57" s="401"/>
      <c r="BO57" s="401"/>
      <c r="BP57" s="401"/>
      <c r="BQ57" s="401"/>
      <c r="BR57" s="401"/>
      <c r="BS57" s="401"/>
      <c r="BT57" s="401"/>
      <c r="BU57" s="399"/>
      <c r="BV57" s="182"/>
      <c r="BW57" s="401"/>
      <c r="BX57" s="401"/>
      <c r="BY57" s="401"/>
      <c r="BZ57" s="401"/>
      <c r="CA57" s="401"/>
      <c r="CB57" s="401"/>
      <c r="CC57" s="401"/>
      <c r="CD57" s="401"/>
      <c r="CE57" s="401"/>
      <c r="CF57" s="401"/>
      <c r="CG57" s="399"/>
      <c r="CH57" s="182"/>
      <c r="CI57" s="401"/>
      <c r="CJ57" s="401"/>
      <c r="CK57" s="401"/>
      <c r="CL57" s="401"/>
      <c r="CM57" s="401"/>
      <c r="CN57" s="401"/>
      <c r="CO57" s="401"/>
      <c r="CP57" s="401"/>
      <c r="CQ57" s="401"/>
      <c r="CR57" s="401"/>
      <c r="CS57" s="399"/>
      <c r="CT57" s="182"/>
      <c r="CU57" s="401"/>
      <c r="CV57" s="401"/>
      <c r="CW57" s="401"/>
      <c r="CX57" s="401"/>
      <c r="CY57" s="401"/>
      <c r="CZ57" s="401"/>
      <c r="DA57" s="401"/>
      <c r="DB57" s="401"/>
      <c r="DC57" s="401"/>
      <c r="DD57" s="401"/>
      <c r="DE57" s="399"/>
      <c r="DF57" s="182"/>
      <c r="DG57" s="401"/>
      <c r="DH57" s="401"/>
      <c r="DI57" s="401"/>
      <c r="DJ57" s="401"/>
      <c r="DK57" s="401"/>
      <c r="DL57" s="401"/>
      <c r="DM57" s="401"/>
      <c r="DN57" s="401"/>
      <c r="DO57" s="401"/>
      <c r="DP57" s="401"/>
      <c r="DQ57" s="399"/>
      <c r="DR57" s="182"/>
      <c r="DS57" s="401"/>
      <c r="DT57" s="401"/>
      <c r="DU57" s="401"/>
      <c r="DV57" s="401"/>
      <c r="DW57" s="401"/>
      <c r="DX57" s="401"/>
      <c r="DY57" s="401"/>
      <c r="DZ57" s="401"/>
      <c r="EA57" s="401"/>
      <c r="EB57" s="401"/>
      <c r="EC57" s="399"/>
      <c r="ED57" s="182"/>
      <c r="EE57" s="401"/>
      <c r="EF57" s="401"/>
      <c r="EG57" s="401"/>
      <c r="EH57" s="401"/>
      <c r="EI57" s="401"/>
      <c r="EJ57" s="401"/>
      <c r="EK57" s="401"/>
      <c r="EL57" s="401"/>
      <c r="EM57" s="401"/>
      <c r="EN57" s="401"/>
      <c r="EO57" s="399"/>
      <c r="EP57" s="182"/>
      <c r="EQ57" s="401"/>
      <c r="ER57" s="401"/>
      <c r="ES57" s="401"/>
      <c r="ET57" s="401"/>
      <c r="EU57" s="401"/>
      <c r="EV57" s="401"/>
      <c r="EW57" s="401"/>
      <c r="EX57" s="401"/>
      <c r="EY57" s="401"/>
      <c r="EZ57" s="401"/>
      <c r="FA57" s="399"/>
      <c r="FB57" s="182"/>
      <c r="FC57" s="401"/>
      <c r="FD57" s="401"/>
      <c r="FE57" s="401"/>
      <c r="FF57" s="401"/>
      <c r="FG57" s="401"/>
      <c r="FH57" s="401"/>
      <c r="FI57" s="401"/>
      <c r="FJ57" s="401"/>
      <c r="FK57" s="401"/>
      <c r="FL57" s="401"/>
      <c r="FM57" s="399"/>
      <c r="FN57" s="182"/>
      <c r="FO57" s="401"/>
      <c r="FP57" s="401"/>
      <c r="FQ57" s="401"/>
      <c r="FR57" s="401"/>
      <c r="FS57" s="401"/>
      <c r="FT57" s="401"/>
      <c r="FU57" s="401"/>
      <c r="FV57" s="401"/>
      <c r="FW57" s="401"/>
      <c r="FX57" s="401"/>
      <c r="FY57" s="399"/>
      <c r="FZ57" s="182"/>
      <c r="GA57" s="401"/>
      <c r="GB57" s="401"/>
      <c r="GC57" s="401"/>
      <c r="GD57" s="401"/>
      <c r="GE57" s="401"/>
      <c r="GF57" s="401"/>
      <c r="GG57" s="401"/>
      <c r="GH57" s="401"/>
      <c r="GI57" s="401"/>
      <c r="GJ57" s="401"/>
      <c r="GK57" s="399"/>
      <c r="GL57" s="182"/>
      <c r="GM57" s="401"/>
      <c r="GN57" s="401"/>
      <c r="GO57" s="401"/>
      <c r="GP57" s="401"/>
      <c r="GQ57" s="401"/>
      <c r="GR57" s="401"/>
      <c r="GS57" s="401"/>
      <c r="GT57" s="401"/>
      <c r="GU57" s="401"/>
      <c r="GV57" s="401"/>
      <c r="GW57" s="399"/>
      <c r="GX57" s="182"/>
      <c r="GY57" s="401"/>
      <c r="GZ57" s="401"/>
      <c r="HA57" s="401"/>
      <c r="HB57" s="401"/>
      <c r="HC57" s="401"/>
      <c r="HD57" s="401"/>
      <c r="HE57" s="401"/>
      <c r="HF57" s="401"/>
      <c r="HG57" s="401"/>
      <c r="HH57" s="401"/>
      <c r="HI57" s="399"/>
      <c r="HJ57" s="182"/>
      <c r="HK57" s="401"/>
      <c r="HL57" s="401"/>
      <c r="HM57" s="401"/>
      <c r="HN57" s="401"/>
      <c r="HO57" s="401"/>
      <c r="HP57" s="401"/>
      <c r="HQ57" s="401"/>
      <c r="HR57" s="401"/>
      <c r="HS57" s="401"/>
      <c r="HT57" s="401"/>
      <c r="HU57" s="399"/>
      <c r="HV57" s="182"/>
      <c r="HW57" s="401"/>
      <c r="HX57" s="401"/>
      <c r="HY57" s="401"/>
      <c r="HZ57" s="401"/>
      <c r="IA57" s="401"/>
      <c r="IB57" s="401"/>
      <c r="IC57" s="401"/>
      <c r="ID57" s="401"/>
      <c r="IE57" s="401"/>
      <c r="IF57" s="401"/>
      <c r="IG57" s="399"/>
      <c r="IH57" s="182"/>
      <c r="II57" s="401"/>
      <c r="IJ57" s="401"/>
      <c r="IK57" s="401"/>
      <c r="IL57" s="401"/>
      <c r="IM57" s="401"/>
      <c r="IN57" s="401"/>
      <c r="IO57" s="401"/>
      <c r="IP57" s="401"/>
      <c r="IQ57" s="401"/>
      <c r="IR57" s="401"/>
      <c r="IS57" s="399"/>
      <c r="IT57" s="182"/>
      <c r="IU57" s="401"/>
      <c r="IV57" s="401"/>
      <c r="IW57" s="401"/>
      <c r="IX57" s="401"/>
      <c r="IY57" s="401"/>
      <c r="IZ57" s="401"/>
      <c r="JA57" s="401"/>
      <c r="JB57" s="401"/>
      <c r="JC57" s="401"/>
      <c r="JD57" s="401"/>
      <c r="JE57" s="399"/>
      <c r="JF57" s="182"/>
      <c r="JG57" s="401"/>
      <c r="JH57" s="401"/>
      <c r="JI57" s="401"/>
      <c r="JJ57" s="401"/>
      <c r="JK57" s="401"/>
      <c r="JL57" s="401"/>
      <c r="JM57" s="401"/>
      <c r="JN57" s="401"/>
      <c r="JO57" s="401"/>
      <c r="JP57" s="401"/>
      <c r="JQ57" s="399"/>
      <c r="JR57" s="182"/>
      <c r="JS57" s="401"/>
      <c r="JT57" s="401"/>
      <c r="JU57" s="401"/>
      <c r="JV57" s="401"/>
      <c r="JW57" s="401"/>
      <c r="JX57" s="401"/>
      <c r="JY57" s="401"/>
      <c r="JZ57" s="401"/>
      <c r="KA57" s="401"/>
      <c r="KB57" s="401"/>
      <c r="KC57" s="399"/>
      <c r="KD57" s="182"/>
      <c r="KE57" s="401"/>
      <c r="KF57" s="401"/>
      <c r="KG57" s="401"/>
      <c r="KH57" s="401"/>
      <c r="KI57" s="401"/>
      <c r="KJ57" s="401"/>
      <c r="KK57" s="401"/>
      <c r="KL57" s="401"/>
      <c r="KM57" s="401"/>
      <c r="KN57" s="401"/>
      <c r="KO57" s="399"/>
      <c r="KP57" s="182"/>
      <c r="KQ57" s="401"/>
      <c r="KR57" s="401"/>
      <c r="KS57" s="401"/>
      <c r="KT57" s="401"/>
      <c r="KU57" s="401"/>
      <c r="KV57" s="401"/>
      <c r="KW57" s="401"/>
      <c r="KX57" s="401"/>
      <c r="KY57" s="401"/>
      <c r="KZ57" s="401"/>
      <c r="LA57" s="399"/>
      <c r="LB57" s="182"/>
      <c r="LC57" s="401"/>
      <c r="LD57" s="401"/>
      <c r="LE57" s="401"/>
      <c r="LF57" s="401"/>
      <c r="LG57" s="401"/>
      <c r="LH57" s="401"/>
      <c r="LI57" s="401"/>
      <c r="LJ57" s="401"/>
      <c r="LK57" s="401"/>
      <c r="LL57" s="401"/>
      <c r="LM57" s="399"/>
      <c r="LN57" s="182"/>
      <c r="LO57" s="401"/>
      <c r="LP57" s="401"/>
      <c r="LQ57" s="401"/>
      <c r="LR57" s="401"/>
      <c r="LS57" s="401"/>
      <c r="LT57" s="401"/>
      <c r="LU57" s="401"/>
      <c r="LV57" s="401"/>
      <c r="LW57" s="401"/>
      <c r="LX57" s="401"/>
      <c r="LY57" s="399"/>
      <c r="LZ57" s="182"/>
      <c r="MA57" s="401"/>
      <c r="MB57" s="401"/>
      <c r="MC57" s="401"/>
      <c r="MD57" s="401"/>
      <c r="ME57" s="401"/>
      <c r="MF57" s="401"/>
      <c r="MG57" s="401"/>
      <c r="MH57" s="401"/>
      <c r="MI57" s="401"/>
      <c r="MJ57" s="401"/>
      <c r="MK57" s="399"/>
      <c r="ML57" s="182"/>
      <c r="MM57" s="401"/>
      <c r="MN57" s="401"/>
      <c r="MO57" s="401"/>
      <c r="MP57" s="401"/>
      <c r="MQ57" s="401"/>
      <c r="MR57" s="401"/>
      <c r="MS57" s="401"/>
      <c r="MT57" s="401"/>
      <c r="MU57" s="401"/>
      <c r="MV57" s="401"/>
      <c r="MW57" s="399"/>
      <c r="MX57" s="182"/>
      <c r="MY57" s="401"/>
      <c r="MZ57" s="401"/>
      <c r="NA57" s="401"/>
      <c r="NB57" s="401"/>
      <c r="NC57" s="401"/>
      <c r="ND57" s="401"/>
      <c r="NE57" s="401"/>
      <c r="NF57" s="401"/>
      <c r="NG57" s="401"/>
      <c r="NH57" s="401"/>
      <c r="NI57" s="399"/>
      <c r="NJ57" s="182"/>
      <c r="NK57" s="401"/>
      <c r="NL57" s="401"/>
      <c r="NM57" s="401"/>
      <c r="NN57" s="401"/>
      <c r="NO57" s="401"/>
      <c r="NP57" s="401"/>
      <c r="NQ57" s="401"/>
      <c r="NR57" s="401"/>
      <c r="NS57" s="401"/>
      <c r="NT57" s="401"/>
      <c r="NU57" s="399"/>
      <c r="NV57" s="182"/>
      <c r="NW57" s="401"/>
      <c r="NX57" s="401"/>
      <c r="NY57" s="401"/>
      <c r="NZ57" s="401"/>
      <c r="OA57" s="401"/>
      <c r="OB57" s="401"/>
      <c r="OC57" s="401"/>
      <c r="OD57" s="401"/>
      <c r="OE57" s="401"/>
      <c r="OF57" s="401"/>
      <c r="OG57" s="399"/>
      <c r="OH57" s="182"/>
      <c r="OI57" s="401"/>
      <c r="OJ57" s="401"/>
      <c r="OK57" s="401"/>
      <c r="OL57" s="401"/>
      <c r="OM57" s="401"/>
      <c r="ON57" s="401"/>
      <c r="OO57" s="401"/>
      <c r="OP57" s="401"/>
      <c r="OQ57" s="401"/>
      <c r="OR57" s="401"/>
      <c r="OS57" s="399"/>
      <c r="OT57" s="182"/>
      <c r="OU57" s="401"/>
      <c r="OV57" s="401"/>
      <c r="OW57" s="401"/>
      <c r="OX57" s="401"/>
      <c r="OY57" s="401"/>
      <c r="OZ57" s="401"/>
      <c r="PA57" s="401"/>
      <c r="PB57" s="401"/>
      <c r="PC57" s="401"/>
      <c r="PD57" s="401"/>
      <c r="PE57" s="399"/>
      <c r="PF57" s="182"/>
      <c r="PG57" s="401"/>
      <c r="PH57" s="401"/>
      <c r="PI57" s="401"/>
      <c r="PJ57" s="401"/>
      <c r="PK57" s="401"/>
      <c r="PL57" s="401"/>
      <c r="PM57" s="401"/>
      <c r="PN57" s="401"/>
      <c r="PO57" s="401"/>
      <c r="PP57" s="401"/>
      <c r="PQ57" s="399"/>
      <c r="PR57" s="182"/>
      <c r="PS57" s="401"/>
      <c r="PT57" s="401"/>
      <c r="PU57" s="401"/>
      <c r="PV57" s="401"/>
      <c r="PW57" s="401"/>
      <c r="PX57" s="401"/>
      <c r="PY57" s="401"/>
      <c r="PZ57" s="401"/>
      <c r="QA57" s="401"/>
      <c r="QB57" s="401"/>
      <c r="QC57" s="399"/>
      <c r="QD57" s="182"/>
      <c r="QE57" s="401"/>
      <c r="QF57" s="401"/>
      <c r="QG57" s="401"/>
      <c r="QH57" s="401"/>
      <c r="QI57" s="401"/>
      <c r="QJ57" s="401"/>
      <c r="QK57" s="401"/>
      <c r="QL57" s="401"/>
      <c r="QM57" s="401"/>
      <c r="QN57" s="401"/>
      <c r="QO57" s="399"/>
      <c r="QP57" s="182"/>
      <c r="QQ57" s="401"/>
      <c r="QR57" s="401"/>
      <c r="QS57" s="401"/>
      <c r="QT57" s="401"/>
      <c r="QU57" s="401"/>
      <c r="QV57" s="401"/>
      <c r="QW57" s="401"/>
      <c r="QX57" s="401"/>
      <c r="QY57" s="401"/>
      <c r="QZ57" s="401"/>
      <c r="RA57" s="399"/>
      <c r="RB57" s="182"/>
      <c r="RC57" s="401"/>
      <c r="RD57" s="401"/>
      <c r="RE57" s="401"/>
      <c r="RF57" s="401"/>
      <c r="RG57" s="401"/>
      <c r="RH57" s="401"/>
      <c r="RI57" s="401"/>
      <c r="RJ57" s="401"/>
      <c r="RK57" s="401"/>
      <c r="RL57" s="401"/>
      <c r="RM57" s="399"/>
      <c r="RN57" s="182"/>
      <c r="RO57" s="401"/>
      <c r="RP57" s="401"/>
      <c r="RQ57" s="401"/>
      <c r="RR57" s="401"/>
      <c r="RS57" s="401"/>
      <c r="RT57" s="401"/>
      <c r="RU57" s="401"/>
      <c r="RV57" s="401"/>
      <c r="RW57" s="401"/>
      <c r="RX57" s="401"/>
      <c r="RY57" s="399"/>
      <c r="RZ57" s="182"/>
      <c r="SA57" s="401"/>
      <c r="SB57" s="401"/>
      <c r="SC57" s="401"/>
      <c r="SD57" s="401"/>
      <c r="SE57" s="401"/>
      <c r="SF57" s="401"/>
      <c r="SG57" s="401"/>
      <c r="SH57" s="401"/>
      <c r="SI57" s="401"/>
      <c r="SJ57" s="401"/>
      <c r="SK57" s="399"/>
      <c r="SL57" s="182"/>
      <c r="SM57" s="401"/>
      <c r="SN57" s="401"/>
      <c r="SO57" s="401"/>
      <c r="SP57" s="401"/>
      <c r="SQ57" s="401"/>
      <c r="SR57" s="401"/>
      <c r="SS57" s="401"/>
      <c r="ST57" s="401"/>
      <c r="SU57" s="401"/>
      <c r="SV57" s="401"/>
      <c r="SW57" s="399"/>
      <c r="SX57" s="182"/>
      <c r="SY57" s="401"/>
      <c r="SZ57" s="401"/>
      <c r="TA57" s="401"/>
      <c r="TB57" s="401"/>
      <c r="TC57" s="401"/>
      <c r="TD57" s="401"/>
      <c r="TE57" s="401"/>
      <c r="TF57" s="401"/>
      <c r="TG57" s="401"/>
      <c r="TH57" s="401"/>
      <c r="TI57" s="399"/>
      <c r="TJ57" s="182"/>
      <c r="TK57" s="401"/>
      <c r="TL57" s="401"/>
      <c r="TM57" s="401"/>
      <c r="TN57" s="401"/>
      <c r="TO57" s="401"/>
      <c r="TP57" s="401"/>
      <c r="TQ57" s="401"/>
      <c r="TR57" s="401"/>
      <c r="TS57" s="401"/>
      <c r="TT57" s="401"/>
      <c r="TU57" s="399"/>
      <c r="TV57" s="182"/>
      <c r="TW57" s="401"/>
      <c r="TX57" s="401"/>
      <c r="TY57" s="401"/>
      <c r="TZ57" s="401"/>
      <c r="UA57" s="401"/>
      <c r="UB57" s="401"/>
      <c r="UC57" s="401"/>
      <c r="UD57" s="401"/>
      <c r="UE57" s="401"/>
      <c r="UF57" s="401"/>
      <c r="UG57" s="399"/>
      <c r="UH57" s="182"/>
      <c r="UI57" s="401"/>
      <c r="UJ57" s="401"/>
      <c r="UK57" s="401"/>
      <c r="UL57" s="401"/>
      <c r="UM57" s="401"/>
      <c r="UN57" s="401"/>
      <c r="UO57" s="401"/>
      <c r="UP57" s="401"/>
      <c r="UQ57" s="401"/>
      <c r="UR57" s="401"/>
      <c r="US57" s="399"/>
      <c r="UT57" s="182"/>
      <c r="UU57" s="401"/>
      <c r="UV57" s="401"/>
      <c r="UW57" s="401"/>
      <c r="UX57" s="401"/>
      <c r="UY57" s="401"/>
      <c r="UZ57" s="401"/>
      <c r="VA57" s="401"/>
      <c r="VB57" s="401"/>
      <c r="VC57" s="401"/>
      <c r="VD57" s="401"/>
      <c r="VE57" s="399"/>
      <c r="VF57" s="182"/>
      <c r="VG57" s="401"/>
      <c r="VH57" s="401"/>
      <c r="VI57" s="401"/>
      <c r="VJ57" s="401"/>
      <c r="VK57" s="401"/>
      <c r="VL57" s="401"/>
      <c r="VM57" s="401"/>
      <c r="VN57" s="401"/>
      <c r="VO57" s="401"/>
      <c r="VP57" s="401"/>
      <c r="VQ57" s="399"/>
      <c r="VR57" s="182"/>
      <c r="VS57" s="401"/>
      <c r="VT57" s="401"/>
      <c r="VU57" s="401"/>
      <c r="VV57" s="401"/>
      <c r="VW57" s="401"/>
      <c r="VX57" s="401"/>
      <c r="VY57" s="401"/>
      <c r="VZ57" s="401"/>
      <c r="WA57" s="401"/>
      <c r="WB57" s="401"/>
      <c r="WC57" s="399"/>
      <c r="WD57" s="182"/>
      <c r="WE57" s="401"/>
      <c r="WF57" s="401"/>
      <c r="WG57" s="401"/>
      <c r="WH57" s="401"/>
      <c r="WI57" s="401"/>
      <c r="WJ57" s="401"/>
      <c r="WK57" s="401"/>
      <c r="WL57" s="401"/>
      <c r="WM57" s="401"/>
      <c r="WN57" s="401"/>
      <c r="WO57" s="399"/>
      <c r="WP57" s="182"/>
      <c r="WQ57" s="401"/>
      <c r="WR57" s="401"/>
      <c r="WS57" s="401"/>
      <c r="WT57" s="401"/>
      <c r="WU57" s="401"/>
      <c r="WV57" s="401"/>
      <c r="WW57" s="401"/>
      <c r="WX57" s="401"/>
      <c r="WY57" s="401"/>
      <c r="WZ57" s="401"/>
      <c r="XA57" s="399"/>
      <c r="XB57" s="182"/>
      <c r="XC57" s="401"/>
      <c r="XD57" s="401"/>
      <c r="XE57" s="401"/>
      <c r="XF57" s="401"/>
      <c r="XG57" s="401"/>
      <c r="XH57" s="401"/>
      <c r="XI57" s="401"/>
      <c r="XJ57" s="401"/>
      <c r="XK57" s="401"/>
      <c r="XL57" s="401"/>
      <c r="XM57" s="399"/>
      <c r="XN57" s="182"/>
      <c r="XO57" s="401"/>
      <c r="XP57" s="401"/>
      <c r="XQ57" s="401"/>
      <c r="XR57" s="401"/>
      <c r="XS57" s="401"/>
      <c r="XT57" s="401"/>
      <c r="XU57" s="401"/>
      <c r="XV57" s="401"/>
      <c r="XW57" s="401"/>
      <c r="XX57" s="401"/>
      <c r="XY57" s="399"/>
      <c r="XZ57" s="182"/>
      <c r="YA57" s="401"/>
      <c r="YB57" s="401"/>
      <c r="YC57" s="401"/>
      <c r="YD57" s="401"/>
      <c r="YE57" s="401"/>
      <c r="YF57" s="401"/>
      <c r="YG57" s="401"/>
      <c r="YH57" s="401"/>
      <c r="YI57" s="401"/>
      <c r="YJ57" s="401"/>
      <c r="YK57" s="399"/>
      <c r="YL57" s="182"/>
      <c r="YM57" s="401"/>
      <c r="YN57" s="401"/>
      <c r="YO57" s="401"/>
      <c r="YP57" s="401"/>
      <c r="YQ57" s="401"/>
      <c r="YR57" s="401"/>
      <c r="YS57" s="401"/>
      <c r="YT57" s="401"/>
      <c r="YU57" s="401"/>
      <c r="YV57" s="401"/>
      <c r="YW57" s="399"/>
      <c r="YX57" s="182"/>
      <c r="YY57" s="401"/>
      <c r="YZ57" s="232"/>
      <c r="ZA57" s="233"/>
      <c r="ZB57" s="233"/>
      <c r="ZC57" s="233"/>
      <c r="ZD57" s="233"/>
      <c r="ZE57" s="233"/>
      <c r="ZF57" s="233"/>
      <c r="ZG57" s="231"/>
      <c r="ZH57" s="231"/>
      <c r="ZI57" s="229"/>
      <c r="ZJ57" s="230"/>
      <c r="ZK57" s="231"/>
      <c r="ZL57" s="232"/>
      <c r="ZM57" s="233"/>
      <c r="ZN57" s="233"/>
      <c r="ZO57" s="233"/>
      <c r="ZP57" s="233"/>
      <c r="ZQ57" s="233"/>
      <c r="ZR57" s="233"/>
      <c r="ZS57" s="231"/>
      <c r="ZT57" s="231"/>
      <c r="ZU57" s="229"/>
      <c r="ZV57" s="230"/>
      <c r="ZW57" s="231"/>
      <c r="ZX57" s="232"/>
      <c r="ZY57" s="233"/>
      <c r="ZZ57" s="233"/>
      <c r="AAA57" s="233"/>
      <c r="AAB57" s="233"/>
      <c r="AAC57" s="233"/>
      <c r="AAD57" s="233"/>
      <c r="AAE57" s="231"/>
      <c r="AAF57" s="231"/>
      <c r="AAG57" s="229"/>
      <c r="AAH57" s="230"/>
      <c r="AAI57" s="231"/>
      <c r="AAJ57" s="232"/>
      <c r="AAK57" s="233"/>
      <c r="AAL57" s="233"/>
      <c r="AAM57" s="233"/>
      <c r="AAN57" s="233"/>
      <c r="AAO57" s="233"/>
      <c r="AAP57" s="233"/>
      <c r="AAQ57" s="231"/>
      <c r="AAR57" s="231"/>
      <c r="AAS57" s="229"/>
      <c r="AAT57" s="230"/>
      <c r="AAU57" s="231"/>
      <c r="AAV57" s="232"/>
      <c r="AAW57" s="233"/>
      <c r="AAX57" s="233"/>
      <c r="AAY57" s="233"/>
      <c r="AAZ57" s="233"/>
      <c r="ABA57" s="233"/>
      <c r="ABB57" s="233"/>
      <c r="ABC57" s="231"/>
      <c r="ABD57" s="231"/>
      <c r="ABE57" s="229"/>
      <c r="ABF57" s="230"/>
      <c r="ABG57" s="231"/>
      <c r="ABH57" s="232"/>
      <c r="ABI57" s="233"/>
      <c r="ABJ57" s="233"/>
      <c r="ABK57" s="233"/>
      <c r="ABL57" s="233"/>
      <c r="ABM57" s="233"/>
      <c r="ABN57" s="233"/>
      <c r="ABO57" s="231"/>
      <c r="ABP57" s="231"/>
      <c r="ABQ57" s="229"/>
      <c r="ABR57" s="230"/>
      <c r="ABS57" s="231"/>
      <c r="ABT57" s="232"/>
      <c r="ABU57" s="233"/>
      <c r="ABV57" s="233"/>
      <c r="ABW57" s="233"/>
      <c r="ABX57" s="233"/>
      <c r="ABY57" s="233"/>
      <c r="ABZ57" s="233"/>
      <c r="ACA57" s="231"/>
      <c r="ACB57" s="231"/>
      <c r="ACC57" s="229"/>
      <c r="ACD57" s="230"/>
      <c r="ACE57" s="231"/>
      <c r="ACF57" s="232"/>
      <c r="ACG57" s="233"/>
      <c r="ACH57" s="233"/>
      <c r="ACI57" s="233"/>
      <c r="ACJ57" s="233"/>
      <c r="ACK57" s="233"/>
      <c r="ACL57" s="233"/>
      <c r="ACM57" s="231"/>
      <c r="ACN57" s="231"/>
      <c r="ACO57" s="229"/>
      <c r="ACP57" s="230"/>
      <c r="ACQ57" s="231"/>
      <c r="ACR57" s="232"/>
      <c r="ACS57" s="233"/>
      <c r="ACT57" s="233"/>
      <c r="ACU57" s="233"/>
      <c r="ACV57" s="233"/>
      <c r="ACW57" s="233"/>
      <c r="ACX57" s="233"/>
      <c r="ACY57" s="231"/>
      <c r="ACZ57" s="231"/>
      <c r="ADA57" s="229"/>
      <c r="ADB57" s="230"/>
      <c r="ADC57" s="231"/>
      <c r="ADD57" s="232"/>
      <c r="ADE57" s="233"/>
      <c r="ADF57" s="233"/>
      <c r="ADG57" s="233"/>
      <c r="ADH57" s="233"/>
      <c r="ADI57" s="233"/>
      <c r="ADJ57" s="233"/>
      <c r="ADK57" s="231"/>
      <c r="ADL57" s="231"/>
      <c r="ADM57" s="229"/>
      <c r="ADN57" s="230"/>
      <c r="ADO57" s="231"/>
      <c r="ADP57" s="232"/>
      <c r="ADQ57" s="233"/>
      <c r="ADR57" s="233"/>
      <c r="ADS57" s="233"/>
      <c r="ADT57" s="233"/>
      <c r="ADU57" s="233"/>
      <c r="ADV57" s="233"/>
      <c r="ADW57" s="231"/>
      <c r="ADX57" s="231"/>
      <c r="ADY57" s="229"/>
      <c r="ADZ57" s="230"/>
      <c r="AEA57" s="231"/>
      <c r="AEB57" s="232"/>
      <c r="AEC57" s="233"/>
      <c r="AED57" s="233"/>
      <c r="AEE57" s="233"/>
      <c r="AEF57" s="233"/>
      <c r="AEG57" s="233"/>
      <c r="AEH57" s="233"/>
      <c r="AEI57" s="231"/>
      <c r="AEJ57" s="231"/>
      <c r="AEK57" s="229"/>
      <c r="AEL57" s="230"/>
      <c r="AEM57" s="231"/>
      <c r="AEN57" s="232"/>
      <c r="AEO57" s="233"/>
      <c r="AEP57" s="233"/>
      <c r="AEQ57" s="233"/>
      <c r="AER57" s="233"/>
      <c r="AES57" s="233"/>
      <c r="AET57" s="233"/>
      <c r="AEU57" s="231"/>
      <c r="AEV57" s="231"/>
      <c r="AEW57" s="229"/>
      <c r="AEX57" s="230"/>
      <c r="AEY57" s="231"/>
      <c r="AEZ57" s="232"/>
      <c r="AFA57" s="233"/>
      <c r="AFB57" s="233"/>
      <c r="AFC57" s="233"/>
      <c r="AFD57" s="233"/>
      <c r="AFE57" s="233"/>
      <c r="AFF57" s="233"/>
      <c r="AFG57" s="231"/>
      <c r="AFH57" s="231"/>
      <c r="AFI57" s="229"/>
      <c r="AFJ57" s="230"/>
      <c r="AFK57" s="231"/>
      <c r="AFL57" s="232"/>
      <c r="AFM57" s="233"/>
      <c r="AFN57" s="233"/>
      <c r="AFO57" s="233"/>
      <c r="AFP57" s="233"/>
      <c r="AFQ57" s="233"/>
      <c r="AFR57" s="233"/>
      <c r="AFS57" s="231"/>
      <c r="AFT57" s="231"/>
      <c r="AFU57" s="229"/>
      <c r="AFV57" s="230"/>
      <c r="AFW57" s="231"/>
      <c r="AFX57" s="232"/>
      <c r="AFY57" s="233"/>
      <c r="AFZ57" s="233"/>
      <c r="AGA57" s="233"/>
      <c r="AGB57" s="233"/>
      <c r="AGC57" s="233"/>
      <c r="AGD57" s="233"/>
      <c r="AGE57" s="231"/>
      <c r="AGF57" s="231"/>
      <c r="AGG57" s="229"/>
      <c r="AGH57" s="230"/>
      <c r="AGI57" s="231"/>
      <c r="AGJ57" s="232"/>
      <c r="AGK57" s="233"/>
      <c r="AGL57" s="233"/>
      <c r="AGM57" s="233"/>
      <c r="AGN57" s="233"/>
      <c r="AGO57" s="233"/>
      <c r="AGP57" s="233"/>
      <c r="AGQ57" s="231"/>
      <c r="AGR57" s="231"/>
      <c r="AGS57" s="229"/>
      <c r="AGT57" s="230"/>
      <c r="AGU57" s="231"/>
      <c r="AGV57" s="232"/>
      <c r="AGW57" s="233"/>
      <c r="AGX57" s="233"/>
      <c r="AGY57" s="233"/>
      <c r="AGZ57" s="233"/>
      <c r="AHA57" s="233"/>
      <c r="AHB57" s="233"/>
      <c r="AHC57" s="231"/>
      <c r="AHD57" s="231"/>
      <c r="AHE57" s="229"/>
      <c r="AHF57" s="230"/>
      <c r="AHG57" s="231"/>
      <c r="AHH57" s="232"/>
      <c r="AHI57" s="233"/>
      <c r="AHJ57" s="233"/>
      <c r="AHK57" s="233"/>
      <c r="AHL57" s="233"/>
      <c r="AHM57" s="233"/>
      <c r="AHN57" s="233"/>
      <c r="AHO57" s="231"/>
      <c r="AHP57" s="231"/>
      <c r="AHQ57" s="229"/>
      <c r="AHR57" s="230"/>
      <c r="AHS57" s="231"/>
      <c r="AHT57" s="232"/>
      <c r="AHU57" s="233"/>
      <c r="AHV57" s="233"/>
      <c r="AHW57" s="233"/>
      <c r="AHX57" s="233"/>
      <c r="AHY57" s="233"/>
      <c r="AHZ57" s="233"/>
      <c r="AIA57" s="231"/>
      <c r="AIB57" s="231"/>
      <c r="AIC57" s="229"/>
      <c r="AID57" s="230"/>
      <c r="AIE57" s="231"/>
      <c r="AIF57" s="232"/>
      <c r="AIG57" s="233"/>
      <c r="AIH57" s="233"/>
      <c r="AII57" s="233"/>
      <c r="AIJ57" s="233"/>
      <c r="AIK57" s="233"/>
      <c r="AIL57" s="233"/>
      <c r="AIM57" s="231"/>
      <c r="AIN57" s="231"/>
      <c r="AIO57" s="229"/>
      <c r="AIP57" s="230"/>
      <c r="AIQ57" s="231"/>
      <c r="AIR57" s="232"/>
      <c r="AIS57" s="233"/>
      <c r="AIT57" s="233"/>
      <c r="AIU57" s="233"/>
      <c r="AIV57" s="233"/>
      <c r="AIW57" s="233"/>
      <c r="AIX57" s="233"/>
      <c r="AIY57" s="231"/>
      <c r="AIZ57" s="231"/>
      <c r="AJA57" s="229"/>
      <c r="AJB57" s="230"/>
      <c r="AJC57" s="231"/>
      <c r="AJD57" s="232"/>
      <c r="AJE57" s="233"/>
      <c r="AJF57" s="233"/>
      <c r="AJG57" s="233"/>
      <c r="AJH57" s="233"/>
      <c r="AJI57" s="233"/>
      <c r="AJJ57" s="233"/>
      <c r="AJK57" s="231"/>
      <c r="AJL57" s="231"/>
      <c r="AJM57" s="229"/>
      <c r="AJN57" s="230"/>
      <c r="AJO57" s="231"/>
      <c r="AJP57" s="232"/>
      <c r="AJQ57" s="233"/>
      <c r="AJR57" s="233"/>
      <c r="AJS57" s="233"/>
      <c r="AJT57" s="233"/>
      <c r="AJU57" s="233"/>
      <c r="AJV57" s="233"/>
      <c r="AJW57" s="231"/>
      <c r="AJX57" s="231"/>
      <c r="AJY57" s="229"/>
      <c r="AJZ57" s="230"/>
      <c r="AKA57" s="231"/>
      <c r="AKB57" s="232"/>
      <c r="AKC57" s="233"/>
      <c r="AKD57" s="233"/>
      <c r="AKE57" s="233"/>
      <c r="AKF57" s="233"/>
      <c r="AKG57" s="233"/>
      <c r="AKH57" s="233"/>
      <c r="AKI57" s="231"/>
      <c r="AKJ57" s="231"/>
      <c r="AKK57" s="229"/>
      <c r="AKL57" s="230"/>
      <c r="AKM57" s="231"/>
      <c r="AKN57" s="232"/>
      <c r="AKO57" s="233"/>
      <c r="AKP57" s="233"/>
      <c r="AKQ57" s="233"/>
      <c r="AKR57" s="233"/>
      <c r="AKS57" s="233"/>
      <c r="AKT57" s="233"/>
      <c r="AKU57" s="231"/>
      <c r="AKV57" s="231"/>
      <c r="AKW57" s="229"/>
      <c r="AKX57" s="230"/>
      <c r="AKY57" s="231"/>
      <c r="AKZ57" s="232"/>
      <c r="ALA57" s="233"/>
      <c r="ALB57" s="233"/>
      <c r="ALC57" s="233"/>
      <c r="ALD57" s="233"/>
      <c r="ALE57" s="233"/>
      <c r="ALF57" s="233"/>
      <c r="ALG57" s="231"/>
      <c r="ALH57" s="231"/>
      <c r="ALI57" s="229"/>
      <c r="ALJ57" s="230"/>
      <c r="ALK57" s="231"/>
      <c r="ALL57" s="232"/>
      <c r="ALM57" s="233"/>
      <c r="ALN57" s="233"/>
      <c r="ALO57" s="233"/>
      <c r="ALP57" s="233"/>
      <c r="ALQ57" s="233"/>
      <c r="ALR57" s="233"/>
      <c r="ALS57" s="231"/>
      <c r="ALT57" s="231"/>
      <c r="ALU57" s="229"/>
      <c r="ALV57" s="230"/>
      <c r="ALW57" s="231"/>
      <c r="ALX57" s="232"/>
      <c r="ALY57" s="233"/>
      <c r="ALZ57" s="233"/>
      <c r="AMA57" s="233"/>
      <c r="AMB57" s="233"/>
      <c r="AMC57" s="233"/>
      <c r="AMD57" s="233"/>
      <c r="AME57" s="231"/>
      <c r="AMF57" s="231"/>
      <c r="AMG57" s="229"/>
      <c r="AMH57" s="230"/>
      <c r="AMI57" s="231"/>
      <c r="AMJ57" s="232"/>
      <c r="AMK57" s="233"/>
      <c r="AML57" s="233"/>
      <c r="AMM57" s="233"/>
      <c r="AMN57" s="233"/>
      <c r="AMO57" s="233"/>
      <c r="AMP57" s="233"/>
      <c r="AMQ57" s="231"/>
      <c r="AMR57" s="231"/>
      <c r="AMS57" s="229"/>
      <c r="AMT57" s="230"/>
      <c r="AMU57" s="231"/>
      <c r="AMV57" s="232"/>
      <c r="AMW57" s="233"/>
      <c r="AMX57" s="233"/>
      <c r="AMY57" s="233"/>
      <c r="AMZ57" s="233"/>
      <c r="ANA57" s="233"/>
      <c r="ANB57" s="233"/>
      <c r="ANC57" s="231"/>
      <c r="AND57" s="231"/>
      <c r="ANE57" s="229"/>
      <c r="ANF57" s="230"/>
      <c r="ANG57" s="231"/>
      <c r="ANH57" s="232"/>
      <c r="ANI57" s="233"/>
      <c r="ANJ57" s="233"/>
      <c r="ANK57" s="233"/>
      <c r="ANL57" s="233"/>
      <c r="ANM57" s="233"/>
      <c r="ANN57" s="233"/>
      <c r="ANO57" s="231"/>
      <c r="ANP57" s="231"/>
      <c r="ANQ57" s="229"/>
      <c r="ANR57" s="230"/>
      <c r="ANS57" s="231"/>
      <c r="ANT57" s="232"/>
      <c r="ANU57" s="233"/>
      <c r="ANV57" s="233"/>
      <c r="ANW57" s="233"/>
      <c r="ANX57" s="233"/>
      <c r="ANY57" s="233"/>
      <c r="ANZ57" s="233"/>
      <c r="AOA57" s="231"/>
      <c r="AOB57" s="231"/>
      <c r="AOC57" s="229"/>
      <c r="AOD57" s="230"/>
      <c r="AOE57" s="231"/>
      <c r="AOF57" s="232"/>
      <c r="AOG57" s="233"/>
      <c r="AOH57" s="233"/>
      <c r="AOI57" s="233"/>
      <c r="AOJ57" s="233"/>
      <c r="AOK57" s="233"/>
      <c r="AOL57" s="233"/>
      <c r="AOM57" s="231"/>
      <c r="AON57" s="231"/>
      <c r="AOO57" s="229"/>
      <c r="AOP57" s="230"/>
      <c r="AOQ57" s="231"/>
      <c r="AOR57" s="232"/>
      <c r="AOS57" s="233"/>
      <c r="AOT57" s="233"/>
      <c r="AOU57" s="233"/>
      <c r="AOV57" s="233"/>
      <c r="AOW57" s="233"/>
      <c r="AOX57" s="233"/>
      <c r="AOY57" s="231"/>
      <c r="AOZ57" s="231"/>
      <c r="APA57" s="229"/>
      <c r="APB57" s="230"/>
      <c r="APC57" s="231"/>
      <c r="APD57" s="232"/>
      <c r="APE57" s="233"/>
      <c r="APF57" s="233"/>
      <c r="APG57" s="233"/>
      <c r="APH57" s="233"/>
      <c r="API57" s="233"/>
      <c r="APJ57" s="233"/>
      <c r="APK57" s="231"/>
      <c r="APL57" s="231"/>
      <c r="APM57" s="229"/>
      <c r="APN57" s="230"/>
      <c r="APO57" s="231"/>
      <c r="APP57" s="232"/>
      <c r="APQ57" s="233"/>
      <c r="APR57" s="233"/>
      <c r="APS57" s="233"/>
      <c r="APT57" s="233"/>
      <c r="APU57" s="233"/>
      <c r="APV57" s="233"/>
      <c r="APW57" s="231"/>
      <c r="APX57" s="231"/>
      <c r="APY57" s="229"/>
      <c r="APZ57" s="230"/>
      <c r="AQA57" s="231"/>
      <c r="AQB57" s="232"/>
      <c r="AQC57" s="233"/>
      <c r="AQD57" s="233"/>
      <c r="AQE57" s="233"/>
      <c r="AQF57" s="233"/>
      <c r="AQG57" s="233"/>
      <c r="AQH57" s="233"/>
      <c r="AQI57" s="231"/>
      <c r="AQJ57" s="231"/>
      <c r="AQK57" s="229"/>
      <c r="AQL57" s="230"/>
      <c r="AQM57" s="231"/>
      <c r="AQN57" s="232"/>
      <c r="AQO57" s="233"/>
      <c r="AQP57" s="233"/>
      <c r="AQQ57" s="233"/>
      <c r="AQR57" s="233"/>
      <c r="AQS57" s="233"/>
      <c r="AQT57" s="233"/>
      <c r="AQU57" s="231"/>
      <c r="AQV57" s="231"/>
      <c r="AQW57" s="229"/>
      <c r="AQX57" s="230"/>
      <c r="AQY57" s="231"/>
      <c r="AQZ57" s="232"/>
      <c r="ARA57" s="233"/>
      <c r="ARB57" s="233"/>
      <c r="ARC57" s="233"/>
      <c r="ARD57" s="233"/>
      <c r="ARE57" s="233"/>
      <c r="ARF57" s="233"/>
      <c r="ARG57" s="231"/>
      <c r="ARH57" s="231"/>
      <c r="ARI57" s="229"/>
      <c r="ARJ57" s="230"/>
      <c r="ARK57" s="231"/>
      <c r="ARL57" s="232"/>
      <c r="ARM57" s="233"/>
      <c r="ARN57" s="233"/>
      <c r="ARO57" s="233"/>
      <c r="ARP57" s="233"/>
      <c r="ARQ57" s="233"/>
      <c r="ARR57" s="233"/>
      <c r="ARS57" s="231"/>
      <c r="ART57" s="231"/>
      <c r="ARU57" s="229"/>
      <c r="ARV57" s="230"/>
      <c r="ARW57" s="231"/>
      <c r="ARX57" s="232"/>
      <c r="ARY57" s="233"/>
      <c r="ARZ57" s="233"/>
      <c r="ASA57" s="233"/>
      <c r="ASB57" s="233"/>
      <c r="ASC57" s="233"/>
      <c r="ASD57" s="233"/>
      <c r="ASE57" s="231"/>
      <c r="ASF57" s="231"/>
      <c r="ASG57" s="229"/>
      <c r="ASH57" s="230"/>
      <c r="ASI57" s="231"/>
      <c r="ASJ57" s="232"/>
      <c r="ASK57" s="233"/>
      <c r="ASL57" s="233"/>
      <c r="ASM57" s="233"/>
      <c r="ASN57" s="233"/>
      <c r="ASO57" s="233"/>
      <c r="ASP57" s="233"/>
      <c r="ASQ57" s="231"/>
      <c r="ASR57" s="231"/>
      <c r="ASS57" s="229"/>
      <c r="AST57" s="230"/>
      <c r="ASU57" s="231"/>
      <c r="ASV57" s="232"/>
      <c r="ASW57" s="233"/>
      <c r="ASX57" s="233"/>
      <c r="ASY57" s="233"/>
      <c r="ASZ57" s="233"/>
      <c r="ATA57" s="233"/>
      <c r="ATB57" s="233"/>
      <c r="ATC57" s="231"/>
      <c r="ATD57" s="231"/>
      <c r="ATE57" s="229"/>
      <c r="ATF57" s="230"/>
      <c r="ATG57" s="231"/>
      <c r="ATH57" s="232"/>
      <c r="ATI57" s="233"/>
      <c r="ATJ57" s="233"/>
      <c r="ATK57" s="233"/>
      <c r="ATL57" s="233"/>
      <c r="ATM57" s="233"/>
      <c r="ATN57" s="233"/>
      <c r="ATO57" s="231"/>
      <c r="ATP57" s="231"/>
      <c r="ATQ57" s="229"/>
      <c r="ATR57" s="230"/>
      <c r="ATS57" s="231"/>
      <c r="ATT57" s="232"/>
      <c r="ATU57" s="233"/>
      <c r="ATV57" s="233"/>
      <c r="ATW57" s="233"/>
      <c r="ATX57" s="233"/>
      <c r="ATY57" s="233"/>
      <c r="ATZ57" s="233"/>
      <c r="AUA57" s="231"/>
      <c r="AUB57" s="231"/>
      <c r="AUC57" s="229"/>
      <c r="AUD57" s="230"/>
      <c r="AUE57" s="231"/>
      <c r="AUF57" s="232"/>
      <c r="AUG57" s="233"/>
      <c r="AUH57" s="233"/>
      <c r="AUI57" s="233"/>
      <c r="AUJ57" s="233"/>
      <c r="AUK57" s="233"/>
      <c r="AUL57" s="233"/>
      <c r="AUM57" s="231"/>
      <c r="AUN57" s="231"/>
      <c r="AUO57" s="229"/>
      <c r="AUP57" s="230"/>
      <c r="AUQ57" s="231"/>
      <c r="AUR57" s="232"/>
      <c r="AUS57" s="233"/>
      <c r="AUT57" s="233"/>
      <c r="AUU57" s="233"/>
      <c r="AUV57" s="233"/>
      <c r="AUW57" s="233"/>
      <c r="AUX57" s="233"/>
      <c r="AUY57" s="231"/>
      <c r="AUZ57" s="231"/>
      <c r="AVA57" s="229"/>
      <c r="AVB57" s="230"/>
      <c r="AVC57" s="231"/>
      <c r="AVD57" s="232"/>
      <c r="AVE57" s="233"/>
      <c r="AVF57" s="233"/>
      <c r="AVG57" s="233"/>
      <c r="AVH57" s="233"/>
      <c r="AVI57" s="233"/>
      <c r="AVJ57" s="233"/>
      <c r="AVK57" s="231"/>
      <c r="AVL57" s="231"/>
      <c r="AVM57" s="229"/>
      <c r="AVN57" s="230"/>
      <c r="AVO57" s="231"/>
      <c r="AVP57" s="232"/>
      <c r="AVQ57" s="233"/>
      <c r="AVR57" s="233"/>
      <c r="AVS57" s="233"/>
      <c r="AVT57" s="233"/>
      <c r="AVU57" s="233"/>
      <c r="AVV57" s="233"/>
      <c r="AVW57" s="231"/>
      <c r="AVX57" s="231"/>
      <c r="AVY57" s="229"/>
      <c r="AVZ57" s="230"/>
      <c r="AWA57" s="231"/>
      <c r="AWB57" s="232"/>
      <c r="AWC57" s="233"/>
      <c r="AWD57" s="233"/>
      <c r="AWE57" s="233"/>
      <c r="AWF57" s="233"/>
      <c r="AWG57" s="233"/>
      <c r="AWH57" s="233"/>
      <c r="AWI57" s="231"/>
      <c r="AWJ57" s="231"/>
      <c r="AWK57" s="229"/>
      <c r="AWL57" s="230"/>
      <c r="AWM57" s="231"/>
      <c r="AWN57" s="232"/>
      <c r="AWO57" s="233"/>
      <c r="AWP57" s="233"/>
      <c r="AWQ57" s="233"/>
      <c r="AWR57" s="233"/>
      <c r="AWS57" s="233"/>
      <c r="AWT57" s="233"/>
      <c r="AWU57" s="231"/>
      <c r="AWV57" s="231"/>
      <c r="AWW57" s="229"/>
      <c r="AWX57" s="230"/>
      <c r="AWY57" s="231"/>
      <c r="AWZ57" s="232"/>
      <c r="AXA57" s="233"/>
      <c r="AXB57" s="233"/>
      <c r="AXC57" s="233"/>
      <c r="AXD57" s="233"/>
      <c r="AXE57" s="233"/>
      <c r="AXF57" s="233"/>
      <c r="AXG57" s="231"/>
      <c r="AXH57" s="231"/>
      <c r="AXI57" s="229"/>
      <c r="AXJ57" s="230"/>
      <c r="AXK57" s="231"/>
      <c r="AXL57" s="232"/>
      <c r="AXM57" s="233"/>
      <c r="AXN57" s="233"/>
      <c r="AXO57" s="233"/>
      <c r="AXP57" s="233"/>
      <c r="AXQ57" s="233"/>
      <c r="AXR57" s="233"/>
      <c r="AXS57" s="231"/>
      <c r="AXT57" s="231"/>
      <c r="AXU57" s="229"/>
      <c r="AXV57" s="230"/>
      <c r="AXW57" s="231"/>
      <c r="AXX57" s="232"/>
      <c r="AXY57" s="233"/>
      <c r="AXZ57" s="233"/>
      <c r="AYA57" s="233"/>
      <c r="AYB57" s="233"/>
      <c r="AYC57" s="233"/>
      <c r="AYD57" s="233"/>
      <c r="AYE57" s="231"/>
      <c r="AYF57" s="231"/>
      <c r="AYG57" s="229"/>
      <c r="AYH57" s="230"/>
      <c r="AYI57" s="231"/>
      <c r="AYJ57" s="232"/>
      <c r="AYK57" s="233"/>
      <c r="AYL57" s="233"/>
      <c r="AYM57" s="233"/>
      <c r="AYN57" s="233"/>
      <c r="AYO57" s="233"/>
      <c r="AYP57" s="233"/>
      <c r="AYQ57" s="231"/>
      <c r="AYR57" s="231"/>
      <c r="AYS57" s="229"/>
      <c r="AYT57" s="230"/>
      <c r="AYU57" s="231"/>
      <c r="AYV57" s="232"/>
      <c r="AYW57" s="233"/>
      <c r="AYX57" s="233"/>
      <c r="AYY57" s="233"/>
      <c r="AYZ57" s="233"/>
      <c r="AZA57" s="233"/>
      <c r="AZB57" s="233"/>
      <c r="AZC57" s="231"/>
      <c r="AZD57" s="231"/>
      <c r="AZE57" s="229"/>
      <c r="AZF57" s="230"/>
      <c r="AZG57" s="231"/>
      <c r="AZH57" s="232"/>
      <c r="AZI57" s="233"/>
      <c r="AZJ57" s="233"/>
      <c r="AZK57" s="233"/>
      <c r="AZL57" s="233"/>
      <c r="AZM57" s="233"/>
      <c r="AZN57" s="233"/>
      <c r="AZO57" s="231"/>
      <c r="AZP57" s="231"/>
      <c r="AZQ57" s="229"/>
      <c r="AZR57" s="230"/>
      <c r="AZS57" s="231"/>
      <c r="AZT57" s="232"/>
      <c r="AZU57" s="233"/>
      <c r="AZV57" s="233"/>
      <c r="AZW57" s="233"/>
      <c r="AZX57" s="233"/>
      <c r="AZY57" s="233"/>
      <c r="AZZ57" s="233"/>
      <c r="BAA57" s="231"/>
      <c r="BAB57" s="231"/>
      <c r="BAC57" s="229"/>
      <c r="BAD57" s="230"/>
      <c r="BAE57" s="231"/>
      <c r="BAF57" s="232"/>
      <c r="BAG57" s="233"/>
      <c r="BAH57" s="233"/>
      <c r="BAI57" s="233"/>
      <c r="BAJ57" s="233"/>
      <c r="BAK57" s="233"/>
      <c r="BAL57" s="233"/>
      <c r="BAM57" s="231"/>
      <c r="BAN57" s="231"/>
      <c r="BAO57" s="229"/>
      <c r="BAP57" s="230"/>
      <c r="BAQ57" s="231"/>
      <c r="BAR57" s="232"/>
      <c r="BAS57" s="233"/>
      <c r="BAT57" s="233"/>
      <c r="BAU57" s="233"/>
      <c r="BAV57" s="233"/>
      <c r="BAW57" s="233"/>
      <c r="BAX57" s="233"/>
      <c r="BAY57" s="231"/>
      <c r="BAZ57" s="231"/>
      <c r="BBA57" s="229"/>
      <c r="BBB57" s="230"/>
      <c r="BBC57" s="231"/>
      <c r="BBD57" s="232"/>
      <c r="BBE57" s="233"/>
      <c r="BBF57" s="233"/>
      <c r="BBG57" s="233"/>
      <c r="BBH57" s="233"/>
      <c r="BBI57" s="233"/>
      <c r="BBJ57" s="233"/>
      <c r="BBK57" s="231"/>
      <c r="BBL57" s="231"/>
      <c r="BBM57" s="229"/>
      <c r="BBN57" s="230"/>
      <c r="BBO57" s="231"/>
      <c r="BBP57" s="232"/>
      <c r="BBQ57" s="233"/>
      <c r="BBR57" s="233"/>
      <c r="BBS57" s="233"/>
      <c r="BBT57" s="233"/>
      <c r="BBU57" s="233"/>
      <c r="BBV57" s="233"/>
      <c r="BBW57" s="231"/>
      <c r="BBX57" s="231"/>
      <c r="BBY57" s="229"/>
      <c r="BBZ57" s="230"/>
      <c r="BCA57" s="231"/>
      <c r="BCB57" s="232"/>
      <c r="BCC57" s="233"/>
      <c r="BCD57" s="233"/>
      <c r="BCE57" s="233"/>
      <c r="BCF57" s="233"/>
      <c r="BCG57" s="233"/>
      <c r="BCH57" s="233"/>
      <c r="BCI57" s="231"/>
      <c r="BCJ57" s="231"/>
      <c r="BCK57" s="229"/>
      <c r="BCL57" s="230"/>
      <c r="BCM57" s="231"/>
      <c r="BCN57" s="232"/>
      <c r="BCO57" s="233"/>
      <c r="BCP57" s="233"/>
      <c r="BCQ57" s="233"/>
      <c r="BCR57" s="233"/>
      <c r="BCS57" s="233"/>
      <c r="BCT57" s="233"/>
      <c r="BCU57" s="231"/>
      <c r="BCV57" s="231"/>
      <c r="BCW57" s="229"/>
      <c r="BCX57" s="230"/>
      <c r="BCY57" s="231"/>
      <c r="BCZ57" s="232"/>
      <c r="BDA57" s="233"/>
      <c r="BDB57" s="233"/>
      <c r="BDC57" s="233"/>
      <c r="BDD57" s="233"/>
      <c r="BDE57" s="233"/>
      <c r="BDF57" s="233"/>
      <c r="BDG57" s="231"/>
      <c r="BDH57" s="231"/>
      <c r="BDI57" s="229"/>
      <c r="BDJ57" s="230"/>
      <c r="BDK57" s="231"/>
      <c r="BDL57" s="232"/>
      <c r="BDM57" s="233"/>
      <c r="BDN57" s="233"/>
      <c r="BDO57" s="233"/>
      <c r="BDP57" s="233"/>
      <c r="BDQ57" s="233"/>
      <c r="BDR57" s="233"/>
      <c r="BDS57" s="231"/>
      <c r="BDT57" s="231"/>
      <c r="BDU57" s="229"/>
      <c r="BDV57" s="230"/>
      <c r="BDW57" s="231"/>
      <c r="BDX57" s="232"/>
      <c r="BDY57" s="233"/>
      <c r="BDZ57" s="233"/>
      <c r="BEA57" s="233"/>
      <c r="BEB57" s="233"/>
      <c r="BEC57" s="233"/>
      <c r="BED57" s="233"/>
      <c r="BEE57" s="231"/>
      <c r="BEF57" s="231"/>
      <c r="BEG57" s="229"/>
      <c r="BEH57" s="230"/>
      <c r="BEI57" s="231"/>
      <c r="BEJ57" s="232"/>
      <c r="BEK57" s="233"/>
      <c r="BEL57" s="233"/>
      <c r="BEM57" s="233"/>
      <c r="BEN57" s="233"/>
      <c r="BEO57" s="233"/>
      <c r="BEP57" s="233"/>
      <c r="BEQ57" s="231"/>
      <c r="BER57" s="231"/>
      <c r="BES57" s="229"/>
      <c r="BET57" s="230"/>
      <c r="BEU57" s="231"/>
      <c r="BEV57" s="232"/>
      <c r="BEW57" s="233"/>
      <c r="BEX57" s="233"/>
      <c r="BEY57" s="233"/>
      <c r="BEZ57" s="233"/>
      <c r="BFA57" s="233"/>
      <c r="BFB57" s="233"/>
      <c r="BFC57" s="231"/>
      <c r="BFD57" s="231"/>
      <c r="BFE57" s="229"/>
      <c r="BFF57" s="230"/>
      <c r="BFG57" s="231"/>
      <c r="BFH57" s="232"/>
      <c r="BFI57" s="233"/>
      <c r="BFJ57" s="233"/>
      <c r="BFK57" s="233"/>
      <c r="BFL57" s="233"/>
      <c r="BFM57" s="233"/>
      <c r="BFN57" s="233"/>
      <c r="BFO57" s="231"/>
      <c r="BFP57" s="231"/>
      <c r="BFQ57" s="229"/>
      <c r="BFR57" s="230"/>
      <c r="BFS57" s="231"/>
      <c r="BFT57" s="232"/>
      <c r="BFU57" s="233"/>
      <c r="BFV57" s="233"/>
      <c r="BFW57" s="233"/>
      <c r="BFX57" s="233"/>
      <c r="BFY57" s="233"/>
      <c r="BFZ57" s="233"/>
      <c r="BGA57" s="231"/>
      <c r="BGB57" s="231"/>
      <c r="BGC57" s="229"/>
      <c r="BGD57" s="230"/>
      <c r="BGE57" s="231"/>
      <c r="BGF57" s="232"/>
      <c r="BGG57" s="233"/>
      <c r="BGH57" s="233"/>
      <c r="BGI57" s="233"/>
      <c r="BGJ57" s="233"/>
      <c r="BGK57" s="233"/>
      <c r="BGL57" s="233"/>
      <c r="BGM57" s="231"/>
      <c r="BGN57" s="231"/>
      <c r="BGO57" s="229"/>
      <c r="BGP57" s="230"/>
      <c r="BGQ57" s="231"/>
      <c r="BGR57" s="232"/>
      <c r="BGS57" s="233"/>
      <c r="BGT57" s="233"/>
      <c r="BGU57" s="233"/>
      <c r="BGV57" s="233"/>
      <c r="BGW57" s="233"/>
      <c r="BGX57" s="233"/>
      <c r="BGY57" s="231"/>
      <c r="BGZ57" s="231"/>
      <c r="BHA57" s="229"/>
      <c r="BHB57" s="230"/>
      <c r="BHC57" s="231"/>
      <c r="BHD57" s="232"/>
      <c r="BHE57" s="233"/>
      <c r="BHF57" s="233"/>
      <c r="BHG57" s="233"/>
      <c r="BHH57" s="233"/>
      <c r="BHI57" s="233"/>
      <c r="BHJ57" s="233"/>
      <c r="BHK57" s="231"/>
      <c r="BHL57" s="231"/>
      <c r="BHM57" s="229"/>
      <c r="BHN57" s="230"/>
      <c r="BHO57" s="231"/>
      <c r="BHP57" s="232"/>
      <c r="BHQ57" s="233"/>
      <c r="BHR57" s="233"/>
      <c r="BHS57" s="233"/>
      <c r="BHT57" s="233"/>
      <c r="BHU57" s="233"/>
      <c r="BHV57" s="233"/>
      <c r="BHW57" s="231"/>
      <c r="BHX57" s="231"/>
      <c r="BHY57" s="229"/>
      <c r="BHZ57" s="230"/>
      <c r="BIA57" s="231"/>
      <c r="BIB57" s="232"/>
      <c r="BIC57" s="233"/>
      <c r="BID57" s="233"/>
      <c r="BIE57" s="233"/>
      <c r="BIF57" s="233"/>
      <c r="BIG57" s="233"/>
      <c r="BIH57" s="233"/>
      <c r="BII57" s="231"/>
      <c r="BIJ57" s="231"/>
      <c r="BIK57" s="229"/>
      <c r="BIL57" s="230"/>
      <c r="BIM57" s="231"/>
      <c r="BIN57" s="232"/>
      <c r="BIO57" s="233"/>
      <c r="BIP57" s="233"/>
      <c r="BIQ57" s="233"/>
      <c r="BIR57" s="233"/>
      <c r="BIS57" s="233"/>
      <c r="BIT57" s="233"/>
      <c r="BIU57" s="231"/>
      <c r="BIV57" s="231"/>
      <c r="BIW57" s="229"/>
      <c r="BIX57" s="230"/>
      <c r="BIY57" s="231"/>
      <c r="BIZ57" s="232"/>
      <c r="BJA57" s="233"/>
      <c r="BJB57" s="233"/>
      <c r="BJC57" s="233"/>
      <c r="BJD57" s="233"/>
      <c r="BJE57" s="233"/>
      <c r="BJF57" s="233"/>
      <c r="BJG57" s="231"/>
      <c r="BJH57" s="231"/>
      <c r="BJI57" s="229"/>
      <c r="BJJ57" s="230"/>
      <c r="BJK57" s="231"/>
      <c r="BJL57" s="232"/>
      <c r="BJM57" s="233"/>
      <c r="BJN57" s="233"/>
      <c r="BJO57" s="233"/>
      <c r="BJP57" s="233"/>
      <c r="BJQ57" s="233"/>
      <c r="BJR57" s="233"/>
      <c r="BJS57" s="231"/>
      <c r="BJT57" s="231"/>
      <c r="BJU57" s="229"/>
      <c r="BJV57" s="230"/>
      <c r="BJW57" s="231"/>
      <c r="BJX57" s="232"/>
      <c r="BJY57" s="233"/>
      <c r="BJZ57" s="233"/>
      <c r="BKA57" s="233"/>
      <c r="BKB57" s="233"/>
      <c r="BKC57" s="233"/>
      <c r="BKD57" s="233"/>
      <c r="BKE57" s="231"/>
      <c r="BKF57" s="231"/>
      <c r="BKG57" s="229"/>
      <c r="BKH57" s="230"/>
      <c r="BKI57" s="231"/>
      <c r="BKJ57" s="232"/>
      <c r="BKK57" s="233"/>
      <c r="BKL57" s="233"/>
      <c r="BKM57" s="233"/>
      <c r="BKN57" s="233"/>
      <c r="BKO57" s="233"/>
      <c r="BKP57" s="233"/>
      <c r="BKQ57" s="231"/>
      <c r="BKR57" s="231"/>
      <c r="BKS57" s="229"/>
      <c r="BKT57" s="230"/>
      <c r="BKU57" s="231"/>
      <c r="BKV57" s="232"/>
      <c r="BKW57" s="233"/>
      <c r="BKX57" s="233"/>
      <c r="BKY57" s="233"/>
      <c r="BKZ57" s="233"/>
      <c r="BLA57" s="233"/>
      <c r="BLB57" s="233"/>
      <c r="BLC57" s="231"/>
      <c r="BLD57" s="231"/>
      <c r="BLE57" s="229"/>
      <c r="BLF57" s="230"/>
      <c r="BLG57" s="231"/>
      <c r="BLH57" s="232"/>
      <c r="BLI57" s="233"/>
      <c r="BLJ57" s="233"/>
      <c r="BLK57" s="233"/>
      <c r="BLL57" s="233"/>
      <c r="BLM57" s="233"/>
      <c r="BLN57" s="233"/>
      <c r="BLO57" s="231"/>
      <c r="BLP57" s="231"/>
      <c r="BLQ57" s="229"/>
      <c r="BLR57" s="230"/>
      <c r="BLS57" s="231"/>
      <c r="BLT57" s="232"/>
      <c r="BLU57" s="233"/>
      <c r="BLV57" s="233"/>
      <c r="BLW57" s="233"/>
      <c r="BLX57" s="233"/>
      <c r="BLY57" s="233"/>
      <c r="BLZ57" s="233"/>
      <c r="BMA57" s="231"/>
      <c r="BMB57" s="231"/>
      <c r="BMC57" s="229"/>
      <c r="BMD57" s="230"/>
      <c r="BME57" s="231"/>
      <c r="BMF57" s="232"/>
      <c r="BMG57" s="233"/>
      <c r="BMH57" s="233"/>
      <c r="BMI57" s="233"/>
      <c r="BMJ57" s="233"/>
      <c r="BMK57" s="233"/>
      <c r="BML57" s="233"/>
      <c r="BMM57" s="231"/>
      <c r="BMN57" s="231"/>
      <c r="BMO57" s="229"/>
      <c r="BMP57" s="230"/>
      <c r="BMQ57" s="231"/>
      <c r="BMR57" s="232"/>
      <c r="BMS57" s="233"/>
      <c r="BMT57" s="233"/>
      <c r="BMU57" s="233"/>
      <c r="BMV57" s="233"/>
      <c r="BMW57" s="233"/>
      <c r="BMX57" s="233"/>
      <c r="BMY57" s="231"/>
      <c r="BMZ57" s="231"/>
      <c r="BNA57" s="229"/>
      <c r="BNB57" s="230"/>
      <c r="BNC57" s="231"/>
      <c r="BND57" s="232"/>
      <c r="BNE57" s="233"/>
      <c r="BNF57" s="233"/>
      <c r="BNG57" s="233"/>
      <c r="BNH57" s="233"/>
      <c r="BNI57" s="233"/>
      <c r="BNJ57" s="233"/>
      <c r="BNK57" s="231"/>
      <c r="BNL57" s="231"/>
      <c r="BNM57" s="229"/>
      <c r="BNN57" s="230"/>
      <c r="BNO57" s="231"/>
      <c r="BNP57" s="232"/>
      <c r="BNQ57" s="233"/>
      <c r="BNR57" s="233"/>
      <c r="BNS57" s="233"/>
      <c r="BNT57" s="233"/>
      <c r="BNU57" s="233"/>
      <c r="BNV57" s="233"/>
      <c r="BNW57" s="231"/>
      <c r="BNX57" s="231"/>
      <c r="BNY57" s="229"/>
      <c r="BNZ57" s="230"/>
      <c r="BOA57" s="231"/>
      <c r="BOB57" s="232"/>
      <c r="BOC57" s="233"/>
      <c r="BOD57" s="233"/>
      <c r="BOE57" s="233"/>
      <c r="BOF57" s="233"/>
      <c r="BOG57" s="233"/>
      <c r="BOH57" s="233"/>
      <c r="BOI57" s="231"/>
      <c r="BOJ57" s="231"/>
      <c r="BOK57" s="229"/>
      <c r="BOL57" s="230"/>
      <c r="BOM57" s="231"/>
      <c r="BON57" s="232"/>
      <c r="BOO57" s="233"/>
      <c r="BOP57" s="233"/>
      <c r="BOQ57" s="233"/>
      <c r="BOR57" s="233"/>
      <c r="BOS57" s="233"/>
      <c r="BOT57" s="233"/>
      <c r="BOU57" s="231"/>
      <c r="BOV57" s="231"/>
      <c r="BOW57" s="229"/>
      <c r="BOX57" s="230"/>
      <c r="BOY57" s="231"/>
      <c r="BOZ57" s="232"/>
      <c r="BPA57" s="233"/>
      <c r="BPB57" s="233"/>
      <c r="BPC57" s="233"/>
      <c r="BPD57" s="233"/>
      <c r="BPE57" s="233"/>
      <c r="BPF57" s="233"/>
      <c r="BPG57" s="231"/>
      <c r="BPH57" s="231"/>
      <c r="BPI57" s="229"/>
      <c r="BPJ57" s="230"/>
      <c r="BPK57" s="231"/>
      <c r="BPL57" s="232"/>
      <c r="BPM57" s="233"/>
      <c r="BPN57" s="233"/>
      <c r="BPO57" s="233"/>
      <c r="BPP57" s="233"/>
      <c r="BPQ57" s="233"/>
      <c r="BPR57" s="233"/>
      <c r="BPS57" s="231"/>
      <c r="BPT57" s="231"/>
      <c r="BPU57" s="229"/>
      <c r="BPV57" s="230"/>
      <c r="BPW57" s="231"/>
      <c r="BPX57" s="232"/>
      <c r="BPY57" s="233"/>
      <c r="BPZ57" s="233"/>
      <c r="BQA57" s="233"/>
      <c r="BQB57" s="233"/>
      <c r="BQC57" s="233"/>
      <c r="BQD57" s="233"/>
      <c r="BQE57" s="231"/>
      <c r="BQF57" s="231"/>
      <c r="BQG57" s="229"/>
      <c r="BQH57" s="230"/>
      <c r="BQI57" s="231"/>
      <c r="BQJ57" s="232"/>
      <c r="BQK57" s="233"/>
      <c r="BQL57" s="233"/>
      <c r="BQM57" s="233"/>
      <c r="BQN57" s="233"/>
      <c r="BQO57" s="233"/>
      <c r="BQP57" s="233"/>
      <c r="BQQ57" s="231"/>
      <c r="BQR57" s="231"/>
      <c r="BQS57" s="229"/>
      <c r="BQT57" s="230"/>
      <c r="BQU57" s="231"/>
      <c r="BQV57" s="232"/>
      <c r="BQW57" s="233"/>
      <c r="BQX57" s="233"/>
      <c r="BQY57" s="233"/>
      <c r="BQZ57" s="233"/>
      <c r="BRA57" s="233"/>
      <c r="BRB57" s="233"/>
      <c r="BRC57" s="231"/>
      <c r="BRD57" s="231"/>
      <c r="BRE57" s="229"/>
      <c r="BRF57" s="230"/>
      <c r="BRG57" s="231"/>
      <c r="BRH57" s="232"/>
      <c r="BRI57" s="233"/>
      <c r="BRJ57" s="233"/>
      <c r="BRK57" s="233"/>
      <c r="BRL57" s="233"/>
      <c r="BRM57" s="233"/>
      <c r="BRN57" s="233"/>
      <c r="BRO57" s="231"/>
      <c r="BRP57" s="231"/>
      <c r="BRQ57" s="229"/>
      <c r="BRR57" s="230"/>
      <c r="BRS57" s="231"/>
      <c r="BRT57" s="232"/>
      <c r="BRU57" s="233"/>
      <c r="BRV57" s="233"/>
      <c r="BRW57" s="233"/>
      <c r="BRX57" s="233"/>
      <c r="BRY57" s="233"/>
      <c r="BRZ57" s="233"/>
      <c r="BSA57" s="231"/>
      <c r="BSB57" s="231"/>
      <c r="BSC57" s="229"/>
      <c r="BSD57" s="230"/>
      <c r="BSE57" s="231"/>
      <c r="BSF57" s="232"/>
      <c r="BSG57" s="233"/>
      <c r="BSH57" s="233"/>
      <c r="BSI57" s="233"/>
      <c r="BSJ57" s="233"/>
      <c r="BSK57" s="233"/>
      <c r="BSL57" s="233"/>
      <c r="BSM57" s="231"/>
      <c r="BSN57" s="231"/>
      <c r="BSO57" s="229"/>
      <c r="BSP57" s="230"/>
      <c r="BSQ57" s="231"/>
      <c r="BSR57" s="232"/>
      <c r="BSS57" s="233"/>
      <c r="BST57" s="233"/>
      <c r="BSU57" s="233"/>
      <c r="BSV57" s="233"/>
      <c r="BSW57" s="233"/>
      <c r="BSX57" s="233"/>
      <c r="BSY57" s="231"/>
      <c r="BSZ57" s="231"/>
      <c r="BTA57" s="229"/>
      <c r="BTB57" s="230"/>
      <c r="BTC57" s="231"/>
      <c r="BTD57" s="232"/>
      <c r="BTE57" s="233"/>
      <c r="BTF57" s="233"/>
      <c r="BTG57" s="233"/>
      <c r="BTH57" s="233"/>
      <c r="BTI57" s="233"/>
      <c r="BTJ57" s="233"/>
      <c r="BTK57" s="231"/>
      <c r="BTL57" s="231"/>
      <c r="BTM57" s="229"/>
      <c r="BTN57" s="230"/>
      <c r="BTO57" s="231"/>
      <c r="BTP57" s="232"/>
      <c r="BTQ57" s="233"/>
      <c r="BTR57" s="233"/>
      <c r="BTS57" s="233"/>
      <c r="BTT57" s="233"/>
      <c r="BTU57" s="233"/>
      <c r="BTV57" s="233"/>
      <c r="BTW57" s="231"/>
      <c r="BTX57" s="231"/>
      <c r="BTY57" s="229"/>
      <c r="BTZ57" s="230"/>
      <c r="BUA57" s="231"/>
      <c r="BUB57" s="232"/>
      <c r="BUC57" s="233"/>
      <c r="BUD57" s="233"/>
      <c r="BUE57" s="233"/>
      <c r="BUF57" s="233"/>
      <c r="BUG57" s="233"/>
      <c r="BUH57" s="233"/>
      <c r="BUI57" s="231"/>
      <c r="BUJ57" s="231"/>
      <c r="BUK57" s="229"/>
      <c r="BUL57" s="230"/>
      <c r="BUM57" s="231"/>
      <c r="BUN57" s="232"/>
      <c r="BUO57" s="233"/>
      <c r="BUP57" s="233"/>
      <c r="BUQ57" s="233"/>
      <c r="BUR57" s="233"/>
      <c r="BUS57" s="233"/>
      <c r="BUT57" s="233"/>
      <c r="BUU57" s="231"/>
      <c r="BUV57" s="231"/>
      <c r="BUW57" s="229"/>
      <c r="BUX57" s="230"/>
      <c r="BUY57" s="231"/>
      <c r="BUZ57" s="232"/>
      <c r="BVA57" s="233"/>
      <c r="BVB57" s="233"/>
      <c r="BVC57" s="233"/>
      <c r="BVD57" s="233"/>
      <c r="BVE57" s="233"/>
      <c r="BVF57" s="233"/>
      <c r="BVG57" s="231"/>
      <c r="BVH57" s="231"/>
      <c r="BVI57" s="229"/>
      <c r="BVJ57" s="230"/>
      <c r="BVK57" s="231"/>
      <c r="BVL57" s="232"/>
      <c r="BVM57" s="233"/>
      <c r="BVN57" s="233"/>
      <c r="BVO57" s="233"/>
      <c r="BVP57" s="233"/>
      <c r="BVQ57" s="233"/>
      <c r="BVR57" s="233"/>
      <c r="BVS57" s="231"/>
      <c r="BVT57" s="231"/>
      <c r="BVU57" s="229"/>
      <c r="BVV57" s="230"/>
      <c r="BVW57" s="231"/>
      <c r="BVX57" s="232"/>
      <c r="BVY57" s="233"/>
      <c r="BVZ57" s="233"/>
      <c r="BWA57" s="233"/>
      <c r="BWB57" s="233"/>
      <c r="BWC57" s="233"/>
      <c r="BWD57" s="233"/>
      <c r="BWE57" s="231"/>
      <c r="BWF57" s="231"/>
      <c r="BWG57" s="229"/>
      <c r="BWH57" s="230"/>
      <c r="BWI57" s="231"/>
      <c r="BWJ57" s="232"/>
      <c r="BWK57" s="233"/>
      <c r="BWL57" s="233"/>
      <c r="BWM57" s="233"/>
      <c r="BWN57" s="233"/>
      <c r="BWO57" s="233"/>
      <c r="BWP57" s="233"/>
      <c r="BWQ57" s="231"/>
      <c r="BWR57" s="231"/>
      <c r="BWS57" s="229"/>
      <c r="BWT57" s="230"/>
      <c r="BWU57" s="231"/>
      <c r="BWV57" s="232"/>
      <c r="BWW57" s="233"/>
      <c r="BWX57" s="233"/>
      <c r="BWY57" s="233"/>
      <c r="BWZ57" s="233"/>
      <c r="BXA57" s="233"/>
      <c r="BXB57" s="233"/>
      <c r="BXC57" s="231"/>
      <c r="BXD57" s="231"/>
      <c r="BXE57" s="229"/>
      <c r="BXF57" s="230"/>
      <c r="BXG57" s="231"/>
      <c r="BXH57" s="232"/>
      <c r="BXI57" s="233"/>
      <c r="BXJ57" s="233"/>
      <c r="BXK57" s="233"/>
      <c r="BXL57" s="233"/>
      <c r="BXM57" s="233"/>
      <c r="BXN57" s="233"/>
      <c r="BXO57" s="231"/>
      <c r="BXP57" s="231"/>
      <c r="BXQ57" s="229"/>
      <c r="BXR57" s="230"/>
      <c r="BXS57" s="231"/>
      <c r="BXT57" s="232"/>
      <c r="BXU57" s="233"/>
      <c r="BXV57" s="233"/>
      <c r="BXW57" s="233"/>
      <c r="BXX57" s="233"/>
      <c r="BXY57" s="233"/>
      <c r="BXZ57" s="233"/>
      <c r="BYA57" s="231"/>
      <c r="BYB57" s="231"/>
      <c r="BYC57" s="229"/>
      <c r="BYD57" s="230"/>
      <c r="BYE57" s="231"/>
      <c r="BYF57" s="232"/>
      <c r="BYG57" s="233"/>
      <c r="BYH57" s="233"/>
      <c r="BYI57" s="233"/>
      <c r="BYJ57" s="233"/>
      <c r="BYK57" s="233"/>
      <c r="BYL57" s="233"/>
      <c r="BYM57" s="231"/>
      <c r="BYN57" s="231"/>
      <c r="BYO57" s="229"/>
      <c r="BYP57" s="230"/>
      <c r="BYQ57" s="231"/>
      <c r="BYR57" s="232"/>
      <c r="BYS57" s="233"/>
      <c r="BYT57" s="233"/>
      <c r="BYU57" s="233"/>
      <c r="BYV57" s="233"/>
      <c r="BYW57" s="233"/>
      <c r="BYX57" s="233"/>
      <c r="BYY57" s="231"/>
      <c r="BYZ57" s="231"/>
      <c r="BZA57" s="229"/>
      <c r="BZB57" s="230"/>
      <c r="BZC57" s="231"/>
      <c r="BZD57" s="232"/>
      <c r="BZE57" s="233"/>
      <c r="BZF57" s="233"/>
      <c r="BZG57" s="233"/>
      <c r="BZH57" s="233"/>
      <c r="BZI57" s="233"/>
      <c r="BZJ57" s="233"/>
      <c r="BZK57" s="231"/>
      <c r="BZL57" s="231"/>
      <c r="BZM57" s="229"/>
      <c r="BZN57" s="230"/>
      <c r="BZO57" s="231"/>
      <c r="BZP57" s="232"/>
      <c r="BZQ57" s="233"/>
      <c r="BZR57" s="233"/>
      <c r="BZS57" s="233"/>
      <c r="BZT57" s="233"/>
      <c r="BZU57" s="233"/>
      <c r="BZV57" s="233"/>
      <c r="BZW57" s="231"/>
      <c r="BZX57" s="231"/>
      <c r="BZY57" s="229"/>
      <c r="BZZ57" s="230"/>
      <c r="CAA57" s="231"/>
      <c r="CAB57" s="232"/>
      <c r="CAC57" s="233"/>
      <c r="CAD57" s="233"/>
      <c r="CAE57" s="233"/>
      <c r="CAF57" s="233"/>
      <c r="CAG57" s="233"/>
      <c r="CAH57" s="233"/>
      <c r="CAI57" s="231"/>
      <c r="CAJ57" s="231"/>
      <c r="CAK57" s="229"/>
      <c r="CAL57" s="230"/>
      <c r="CAM57" s="231"/>
      <c r="CAN57" s="232"/>
      <c r="CAO57" s="233"/>
      <c r="CAP57" s="233"/>
      <c r="CAQ57" s="233"/>
      <c r="CAR57" s="233"/>
      <c r="CAS57" s="233"/>
      <c r="CAT57" s="233"/>
      <c r="CAU57" s="231"/>
      <c r="CAV57" s="231"/>
      <c r="CAW57" s="229"/>
      <c r="CAX57" s="230"/>
      <c r="CAY57" s="231"/>
      <c r="CAZ57" s="232"/>
      <c r="CBA57" s="233"/>
      <c r="CBB57" s="233"/>
      <c r="CBC57" s="233"/>
      <c r="CBD57" s="233"/>
      <c r="CBE57" s="233"/>
      <c r="CBF57" s="233"/>
      <c r="CBG57" s="231"/>
      <c r="CBH57" s="231"/>
      <c r="CBI57" s="229"/>
      <c r="CBJ57" s="230"/>
      <c r="CBK57" s="231"/>
      <c r="CBL57" s="232"/>
      <c r="CBM57" s="233"/>
      <c r="CBN57" s="233"/>
      <c r="CBO57" s="233"/>
      <c r="CBP57" s="233"/>
      <c r="CBQ57" s="233"/>
      <c r="CBR57" s="233"/>
      <c r="CBS57" s="231"/>
      <c r="CBT57" s="231"/>
      <c r="CBU57" s="229"/>
      <c r="CBV57" s="230"/>
      <c r="CBW57" s="231"/>
      <c r="CBX57" s="232"/>
      <c r="CBY57" s="233"/>
      <c r="CBZ57" s="233"/>
      <c r="CCA57" s="233"/>
      <c r="CCB57" s="233"/>
      <c r="CCC57" s="233"/>
      <c r="CCD57" s="233"/>
      <c r="CCE57" s="231"/>
      <c r="CCF57" s="231"/>
      <c r="CCG57" s="229"/>
      <c r="CCH57" s="230"/>
      <c r="CCI57" s="231"/>
      <c r="CCJ57" s="232"/>
      <c r="CCK57" s="233"/>
      <c r="CCL57" s="233"/>
      <c r="CCM57" s="233"/>
      <c r="CCN57" s="233"/>
      <c r="CCO57" s="233"/>
      <c r="CCP57" s="233"/>
      <c r="CCQ57" s="231"/>
      <c r="CCR57" s="231"/>
      <c r="CCS57" s="229"/>
      <c r="CCT57" s="230"/>
      <c r="CCU57" s="231"/>
      <c r="CCV57" s="232"/>
      <c r="CCW57" s="233"/>
      <c r="CCX57" s="233"/>
      <c r="CCY57" s="233"/>
      <c r="CCZ57" s="233"/>
      <c r="CDA57" s="233"/>
      <c r="CDB57" s="233"/>
      <c r="CDC57" s="231"/>
      <c r="CDD57" s="231"/>
      <c r="CDE57" s="229"/>
      <c r="CDF57" s="230"/>
      <c r="CDG57" s="231"/>
      <c r="CDH57" s="232"/>
      <c r="CDI57" s="233"/>
      <c r="CDJ57" s="233"/>
      <c r="CDK57" s="233"/>
      <c r="CDL57" s="233"/>
      <c r="CDM57" s="233"/>
      <c r="CDN57" s="233"/>
      <c r="CDO57" s="231"/>
      <c r="CDP57" s="231"/>
      <c r="CDQ57" s="229"/>
      <c r="CDR57" s="230"/>
      <c r="CDS57" s="231"/>
      <c r="CDT57" s="232"/>
      <c r="CDU57" s="233"/>
      <c r="CDV57" s="233"/>
      <c r="CDW57" s="233"/>
      <c r="CDX57" s="233"/>
      <c r="CDY57" s="233"/>
      <c r="CDZ57" s="233"/>
      <c r="CEA57" s="231"/>
      <c r="CEB57" s="231"/>
      <c r="CEC57" s="229"/>
      <c r="CED57" s="230"/>
      <c r="CEE57" s="231"/>
      <c r="CEF57" s="232"/>
      <c r="CEG57" s="233"/>
      <c r="CEH57" s="233"/>
      <c r="CEI57" s="233"/>
      <c r="CEJ57" s="233"/>
      <c r="CEK57" s="233"/>
      <c r="CEL57" s="233"/>
      <c r="CEM57" s="231"/>
      <c r="CEN57" s="231"/>
      <c r="CEO57" s="229"/>
      <c r="CEP57" s="230"/>
      <c r="CEQ57" s="231"/>
      <c r="CER57" s="232"/>
      <c r="CES57" s="233"/>
      <c r="CET57" s="233"/>
      <c r="CEU57" s="233"/>
      <c r="CEV57" s="233"/>
      <c r="CEW57" s="233"/>
      <c r="CEX57" s="233"/>
      <c r="CEY57" s="231"/>
      <c r="CEZ57" s="231"/>
      <c r="CFA57" s="229"/>
      <c r="CFB57" s="230"/>
      <c r="CFC57" s="231"/>
      <c r="CFD57" s="232"/>
      <c r="CFE57" s="233"/>
      <c r="CFF57" s="233"/>
      <c r="CFG57" s="233"/>
      <c r="CFH57" s="233"/>
      <c r="CFI57" s="233"/>
      <c r="CFJ57" s="233"/>
      <c r="CFK57" s="231"/>
      <c r="CFL57" s="231"/>
      <c r="CFM57" s="229"/>
      <c r="CFN57" s="230"/>
      <c r="CFO57" s="231"/>
      <c r="CFP57" s="232"/>
      <c r="CFQ57" s="233"/>
      <c r="CFR57" s="233"/>
      <c r="CFS57" s="233"/>
      <c r="CFT57" s="233"/>
      <c r="CFU57" s="233"/>
      <c r="CFV57" s="233"/>
      <c r="CFW57" s="231"/>
      <c r="CFX57" s="231"/>
      <c r="CFY57" s="229"/>
      <c r="CFZ57" s="230"/>
      <c r="CGA57" s="231"/>
      <c r="CGB57" s="232"/>
      <c r="CGC57" s="233"/>
      <c r="CGD57" s="233"/>
      <c r="CGE57" s="233"/>
      <c r="CGF57" s="233"/>
      <c r="CGG57" s="233"/>
      <c r="CGH57" s="233"/>
      <c r="CGI57" s="231"/>
      <c r="CGJ57" s="231"/>
      <c r="CGK57" s="229"/>
      <c r="CGL57" s="230"/>
      <c r="CGM57" s="231"/>
      <c r="CGN57" s="232"/>
      <c r="CGO57" s="233"/>
      <c r="CGP57" s="233"/>
      <c r="CGQ57" s="233"/>
      <c r="CGR57" s="233"/>
      <c r="CGS57" s="233"/>
      <c r="CGT57" s="233"/>
      <c r="CGU57" s="231"/>
      <c r="CGV57" s="231"/>
      <c r="CGW57" s="229"/>
      <c r="CGX57" s="230"/>
      <c r="CGY57" s="231"/>
      <c r="CGZ57" s="232"/>
      <c r="CHA57" s="233"/>
      <c r="CHB57" s="233"/>
      <c r="CHC57" s="233"/>
      <c r="CHD57" s="233"/>
      <c r="CHE57" s="233"/>
      <c r="CHF57" s="233"/>
      <c r="CHG57" s="231"/>
      <c r="CHH57" s="231"/>
      <c r="CHI57" s="229"/>
      <c r="CHJ57" s="230"/>
      <c r="CHK57" s="231"/>
      <c r="CHL57" s="232"/>
      <c r="CHM57" s="233"/>
      <c r="CHN57" s="233"/>
      <c r="CHO57" s="233"/>
      <c r="CHP57" s="233"/>
      <c r="CHQ57" s="233"/>
      <c r="CHR57" s="233"/>
      <c r="CHS57" s="231"/>
      <c r="CHT57" s="231"/>
      <c r="CHU57" s="229"/>
      <c r="CHV57" s="230"/>
      <c r="CHW57" s="231"/>
      <c r="CHX57" s="232"/>
      <c r="CHY57" s="233"/>
      <c r="CHZ57" s="233"/>
      <c r="CIA57" s="233"/>
      <c r="CIB57" s="233"/>
      <c r="CIC57" s="233"/>
      <c r="CID57" s="233"/>
      <c r="CIE57" s="231"/>
      <c r="CIF57" s="231"/>
      <c r="CIG57" s="229"/>
      <c r="CIH57" s="230"/>
      <c r="CII57" s="231"/>
      <c r="CIJ57" s="232"/>
      <c r="CIK57" s="233"/>
      <c r="CIL57" s="233"/>
      <c r="CIM57" s="233"/>
      <c r="CIN57" s="233"/>
      <c r="CIO57" s="233"/>
      <c r="CIP57" s="233"/>
      <c r="CIQ57" s="231"/>
      <c r="CIR57" s="231"/>
      <c r="CIS57" s="229"/>
      <c r="CIT57" s="230"/>
      <c r="CIU57" s="231"/>
      <c r="CIV57" s="232"/>
      <c r="CIW57" s="233"/>
      <c r="CIX57" s="233"/>
      <c r="CIY57" s="233"/>
      <c r="CIZ57" s="233"/>
      <c r="CJA57" s="233"/>
      <c r="CJB57" s="233"/>
      <c r="CJC57" s="231"/>
      <c r="CJD57" s="231"/>
      <c r="CJE57" s="229"/>
      <c r="CJF57" s="230"/>
      <c r="CJG57" s="231"/>
      <c r="CJH57" s="232"/>
      <c r="CJI57" s="233"/>
      <c r="CJJ57" s="233"/>
      <c r="CJK57" s="233"/>
      <c r="CJL57" s="233"/>
      <c r="CJM57" s="233"/>
      <c r="CJN57" s="233"/>
      <c r="CJO57" s="231"/>
      <c r="CJP57" s="231"/>
      <c r="CJQ57" s="229"/>
      <c r="CJR57" s="230"/>
      <c r="CJS57" s="231"/>
      <c r="CJT57" s="232"/>
      <c r="CJU57" s="233"/>
      <c r="CJV57" s="233"/>
      <c r="CJW57" s="233"/>
      <c r="CJX57" s="233"/>
      <c r="CJY57" s="233"/>
      <c r="CJZ57" s="233"/>
      <c r="CKA57" s="231"/>
      <c r="CKB57" s="231"/>
      <c r="CKC57" s="229"/>
      <c r="CKD57" s="230"/>
      <c r="CKE57" s="231"/>
      <c r="CKF57" s="232"/>
      <c r="CKG57" s="233"/>
      <c r="CKH57" s="233"/>
      <c r="CKI57" s="233"/>
      <c r="CKJ57" s="233"/>
      <c r="CKK57" s="233"/>
      <c r="CKL57" s="233"/>
      <c r="CKM57" s="231"/>
      <c r="CKN57" s="231"/>
      <c r="CKO57" s="229"/>
      <c r="CKP57" s="230"/>
      <c r="CKQ57" s="231"/>
      <c r="CKR57" s="232"/>
      <c r="CKS57" s="233"/>
      <c r="CKT57" s="233"/>
      <c r="CKU57" s="233"/>
      <c r="CKV57" s="233"/>
      <c r="CKW57" s="233"/>
      <c r="CKX57" s="233"/>
      <c r="CKY57" s="231"/>
      <c r="CKZ57" s="231"/>
      <c r="CLA57" s="229"/>
      <c r="CLB57" s="230"/>
      <c r="CLC57" s="231"/>
      <c r="CLD57" s="232"/>
      <c r="CLE57" s="233"/>
      <c r="CLF57" s="233"/>
      <c r="CLG57" s="233"/>
      <c r="CLH57" s="233"/>
      <c r="CLI57" s="233"/>
      <c r="CLJ57" s="233"/>
      <c r="CLK57" s="231"/>
      <c r="CLL57" s="231"/>
      <c r="CLM57" s="229"/>
      <c r="CLN57" s="230"/>
      <c r="CLO57" s="231"/>
      <c r="CLP57" s="232"/>
      <c r="CLQ57" s="233"/>
      <c r="CLR57" s="233"/>
      <c r="CLS57" s="233"/>
      <c r="CLT57" s="233"/>
      <c r="CLU57" s="233"/>
      <c r="CLV57" s="233"/>
      <c r="CLW57" s="231"/>
      <c r="CLX57" s="231"/>
      <c r="CLY57" s="229"/>
      <c r="CLZ57" s="230"/>
      <c r="CMA57" s="231"/>
      <c r="CMB57" s="232"/>
      <c r="CMC57" s="233"/>
      <c r="CMD57" s="233"/>
      <c r="CME57" s="233"/>
      <c r="CMF57" s="233"/>
      <c r="CMG57" s="233"/>
      <c r="CMH57" s="233"/>
      <c r="CMI57" s="231"/>
      <c r="CMJ57" s="231"/>
      <c r="CMK57" s="229"/>
      <c r="CML57" s="230"/>
      <c r="CMM57" s="231"/>
      <c r="CMN57" s="232"/>
      <c r="CMO57" s="233"/>
      <c r="CMP57" s="233"/>
      <c r="CMQ57" s="233"/>
      <c r="CMR57" s="233"/>
      <c r="CMS57" s="233"/>
      <c r="CMT57" s="233"/>
      <c r="CMU57" s="231"/>
      <c r="CMV57" s="231"/>
      <c r="CMW57" s="229"/>
      <c r="CMX57" s="230"/>
      <c r="CMY57" s="231"/>
      <c r="CMZ57" s="232"/>
      <c r="CNA57" s="233"/>
      <c r="CNB57" s="233"/>
      <c r="CNC57" s="233"/>
      <c r="CND57" s="233"/>
      <c r="CNE57" s="233"/>
      <c r="CNF57" s="233"/>
      <c r="CNG57" s="231"/>
      <c r="CNH57" s="231"/>
      <c r="CNI57" s="229"/>
      <c r="CNJ57" s="230"/>
      <c r="CNK57" s="231"/>
      <c r="CNL57" s="232"/>
      <c r="CNM57" s="233"/>
      <c r="CNN57" s="233"/>
      <c r="CNO57" s="233"/>
      <c r="CNP57" s="233"/>
      <c r="CNQ57" s="233"/>
      <c r="CNR57" s="233"/>
      <c r="CNS57" s="231"/>
      <c r="CNT57" s="231"/>
      <c r="CNU57" s="229"/>
      <c r="CNV57" s="230"/>
      <c r="CNW57" s="231"/>
      <c r="CNX57" s="232"/>
      <c r="CNY57" s="233"/>
      <c r="CNZ57" s="233"/>
      <c r="COA57" s="233"/>
      <c r="COB57" s="233"/>
      <c r="COC57" s="233"/>
      <c r="COD57" s="233"/>
      <c r="COE57" s="231"/>
      <c r="COF57" s="231"/>
      <c r="COG57" s="229"/>
      <c r="COH57" s="230"/>
      <c r="COI57" s="231"/>
      <c r="COJ57" s="232"/>
      <c r="COK57" s="233"/>
      <c r="COL57" s="233"/>
      <c r="COM57" s="233"/>
      <c r="CON57" s="233"/>
      <c r="COO57" s="233"/>
      <c r="COP57" s="233"/>
      <c r="COQ57" s="231"/>
      <c r="COR57" s="231"/>
      <c r="COS57" s="229"/>
      <c r="COT57" s="230"/>
      <c r="COU57" s="231"/>
      <c r="COV57" s="232"/>
      <c r="COW57" s="233"/>
      <c r="COX57" s="233"/>
      <c r="COY57" s="233"/>
      <c r="COZ57" s="233"/>
      <c r="CPA57" s="233"/>
      <c r="CPB57" s="233"/>
      <c r="CPC57" s="231"/>
      <c r="CPD57" s="231"/>
      <c r="CPE57" s="229"/>
      <c r="CPF57" s="230"/>
      <c r="CPG57" s="231"/>
      <c r="CPH57" s="232"/>
      <c r="CPI57" s="233"/>
      <c r="CPJ57" s="233"/>
      <c r="CPK57" s="233"/>
      <c r="CPL57" s="233"/>
      <c r="CPM57" s="233"/>
      <c r="CPN57" s="233"/>
      <c r="CPO57" s="231"/>
      <c r="CPP57" s="231"/>
      <c r="CPQ57" s="229"/>
      <c r="CPR57" s="230"/>
      <c r="CPS57" s="231"/>
      <c r="CPT57" s="232"/>
      <c r="CPU57" s="233"/>
      <c r="CPV57" s="233"/>
      <c r="CPW57" s="233"/>
      <c r="CPX57" s="233"/>
      <c r="CPY57" s="233"/>
      <c r="CPZ57" s="233"/>
      <c r="CQA57" s="231"/>
      <c r="CQB57" s="231"/>
      <c r="CQC57" s="229"/>
      <c r="CQD57" s="230"/>
      <c r="CQE57" s="231"/>
      <c r="CQF57" s="232"/>
      <c r="CQG57" s="233"/>
      <c r="CQH57" s="233"/>
      <c r="CQI57" s="233"/>
      <c r="CQJ57" s="233"/>
      <c r="CQK57" s="233"/>
      <c r="CQL57" s="233"/>
      <c r="CQM57" s="231"/>
      <c r="CQN57" s="231"/>
      <c r="CQO57" s="229"/>
      <c r="CQP57" s="230"/>
      <c r="CQQ57" s="231"/>
      <c r="CQR57" s="232"/>
      <c r="CQS57" s="233"/>
      <c r="CQT57" s="233"/>
      <c r="CQU57" s="233"/>
      <c r="CQV57" s="233"/>
      <c r="CQW57" s="233"/>
      <c r="CQX57" s="233"/>
      <c r="CQY57" s="231"/>
      <c r="CQZ57" s="231"/>
      <c r="CRA57" s="229"/>
      <c r="CRB57" s="230"/>
      <c r="CRC57" s="231"/>
      <c r="CRD57" s="232"/>
      <c r="CRE57" s="233"/>
      <c r="CRF57" s="233"/>
      <c r="CRG57" s="233"/>
      <c r="CRH57" s="233"/>
      <c r="CRI57" s="233"/>
      <c r="CRJ57" s="233"/>
      <c r="CRK57" s="231"/>
      <c r="CRL57" s="231"/>
      <c r="CRM57" s="229"/>
      <c r="CRN57" s="230"/>
      <c r="CRO57" s="231"/>
      <c r="CRP57" s="232"/>
      <c r="CRQ57" s="233"/>
      <c r="CRR57" s="233"/>
      <c r="CRS57" s="233"/>
      <c r="CRT57" s="233"/>
      <c r="CRU57" s="233"/>
      <c r="CRV57" s="233"/>
      <c r="CRW57" s="231"/>
      <c r="CRX57" s="231"/>
      <c r="CRY57" s="229"/>
      <c r="CRZ57" s="230"/>
      <c r="CSA57" s="231"/>
      <c r="CSB57" s="232"/>
      <c r="CSC57" s="233"/>
      <c r="CSD57" s="233"/>
      <c r="CSE57" s="233"/>
      <c r="CSF57" s="233"/>
      <c r="CSG57" s="233"/>
      <c r="CSH57" s="233"/>
      <c r="CSI57" s="231"/>
      <c r="CSJ57" s="231"/>
      <c r="CSK57" s="229"/>
      <c r="CSL57" s="230"/>
      <c r="CSM57" s="231"/>
      <c r="CSN57" s="232"/>
      <c r="CSO57" s="233"/>
      <c r="CSP57" s="233"/>
      <c r="CSQ57" s="233"/>
      <c r="CSR57" s="233"/>
      <c r="CSS57" s="233"/>
      <c r="CST57" s="233"/>
      <c r="CSU57" s="231"/>
      <c r="CSV57" s="231"/>
      <c r="CSW57" s="229"/>
      <c r="CSX57" s="230"/>
      <c r="CSY57" s="231"/>
      <c r="CSZ57" s="232"/>
      <c r="CTA57" s="233"/>
      <c r="CTB57" s="233"/>
      <c r="CTC57" s="233"/>
      <c r="CTD57" s="233"/>
      <c r="CTE57" s="233"/>
      <c r="CTF57" s="233"/>
      <c r="CTG57" s="231"/>
      <c r="CTH57" s="231"/>
      <c r="CTI57" s="229"/>
      <c r="CTJ57" s="230"/>
      <c r="CTK57" s="231"/>
      <c r="CTL57" s="232"/>
      <c r="CTM57" s="233"/>
      <c r="CTN57" s="233"/>
      <c r="CTO57" s="233"/>
      <c r="CTP57" s="233"/>
      <c r="CTQ57" s="233"/>
      <c r="CTR57" s="233"/>
      <c r="CTS57" s="231"/>
      <c r="CTT57" s="231"/>
      <c r="CTU57" s="229"/>
      <c r="CTV57" s="230"/>
      <c r="CTW57" s="231"/>
      <c r="CTX57" s="232"/>
      <c r="CTY57" s="233"/>
      <c r="CTZ57" s="233"/>
      <c r="CUA57" s="233"/>
      <c r="CUB57" s="233"/>
      <c r="CUC57" s="233"/>
      <c r="CUD57" s="233"/>
      <c r="CUE57" s="231"/>
      <c r="CUF57" s="231"/>
      <c r="CUG57" s="229"/>
      <c r="CUH57" s="230"/>
      <c r="CUI57" s="231"/>
      <c r="CUJ57" s="232"/>
      <c r="CUK57" s="233"/>
      <c r="CUL57" s="233"/>
      <c r="CUM57" s="233"/>
      <c r="CUN57" s="233"/>
      <c r="CUO57" s="233"/>
      <c r="CUP57" s="233"/>
      <c r="CUQ57" s="231"/>
      <c r="CUR57" s="231"/>
      <c r="CUS57" s="229"/>
      <c r="CUT57" s="230"/>
      <c r="CUU57" s="231"/>
      <c r="CUV57" s="232"/>
      <c r="CUW57" s="233"/>
      <c r="CUX57" s="233"/>
      <c r="CUY57" s="233"/>
      <c r="CUZ57" s="233"/>
      <c r="CVA57" s="233"/>
      <c r="CVB57" s="233"/>
      <c r="CVC57" s="231"/>
      <c r="CVD57" s="231"/>
      <c r="CVE57" s="229"/>
      <c r="CVF57" s="230"/>
      <c r="CVG57" s="231"/>
      <c r="CVH57" s="232"/>
      <c r="CVI57" s="233"/>
      <c r="CVJ57" s="233"/>
      <c r="CVK57" s="233"/>
      <c r="CVL57" s="233"/>
      <c r="CVM57" s="233"/>
      <c r="CVN57" s="233"/>
      <c r="CVO57" s="231"/>
      <c r="CVP57" s="231"/>
      <c r="CVQ57" s="229"/>
      <c r="CVR57" s="230"/>
      <c r="CVS57" s="231"/>
      <c r="CVT57" s="232"/>
      <c r="CVU57" s="233"/>
      <c r="CVV57" s="233"/>
      <c r="CVW57" s="233"/>
      <c r="CVX57" s="233"/>
      <c r="CVY57" s="233"/>
      <c r="CVZ57" s="233"/>
      <c r="CWA57" s="231"/>
      <c r="CWB57" s="231"/>
      <c r="CWC57" s="229"/>
      <c r="CWD57" s="230"/>
      <c r="CWE57" s="231"/>
      <c r="CWF57" s="232"/>
      <c r="CWG57" s="233"/>
      <c r="CWH57" s="233"/>
      <c r="CWI57" s="233"/>
      <c r="CWJ57" s="233"/>
      <c r="CWK57" s="233"/>
      <c r="CWL57" s="233"/>
      <c r="CWM57" s="231"/>
      <c r="CWN57" s="231"/>
      <c r="CWO57" s="229"/>
      <c r="CWP57" s="230"/>
      <c r="CWQ57" s="231"/>
      <c r="CWR57" s="232"/>
      <c r="CWS57" s="233"/>
      <c r="CWT57" s="233"/>
      <c r="CWU57" s="233"/>
      <c r="CWV57" s="233"/>
      <c r="CWW57" s="233"/>
      <c r="CWX57" s="233"/>
      <c r="CWY57" s="231"/>
      <c r="CWZ57" s="231"/>
      <c r="CXA57" s="229"/>
      <c r="CXB57" s="230"/>
      <c r="CXC57" s="231"/>
      <c r="CXD57" s="232"/>
      <c r="CXE57" s="233"/>
      <c r="CXF57" s="233"/>
      <c r="CXG57" s="233"/>
      <c r="CXH57" s="233"/>
      <c r="CXI57" s="233"/>
      <c r="CXJ57" s="233"/>
      <c r="CXK57" s="231"/>
      <c r="CXL57" s="231"/>
      <c r="CXM57" s="229"/>
      <c r="CXN57" s="230"/>
      <c r="CXO57" s="231"/>
      <c r="CXP57" s="232"/>
      <c r="CXQ57" s="233"/>
      <c r="CXR57" s="233"/>
      <c r="CXS57" s="233"/>
      <c r="CXT57" s="233"/>
      <c r="CXU57" s="233"/>
      <c r="CXV57" s="233"/>
      <c r="CXW57" s="231"/>
      <c r="CXX57" s="231"/>
      <c r="CXY57" s="229"/>
      <c r="CXZ57" s="230"/>
      <c r="CYA57" s="231"/>
      <c r="CYB57" s="232"/>
      <c r="CYC57" s="233"/>
      <c r="CYD57" s="233"/>
      <c r="CYE57" s="233"/>
      <c r="CYF57" s="233"/>
      <c r="CYG57" s="233"/>
      <c r="CYH57" s="233"/>
      <c r="CYI57" s="231"/>
      <c r="CYJ57" s="231"/>
      <c r="CYK57" s="229"/>
      <c r="CYL57" s="230"/>
      <c r="CYM57" s="231"/>
      <c r="CYN57" s="232"/>
      <c r="CYO57" s="233"/>
      <c r="CYP57" s="233"/>
      <c r="CYQ57" s="233"/>
      <c r="CYR57" s="233"/>
      <c r="CYS57" s="233"/>
      <c r="CYT57" s="233"/>
      <c r="CYU57" s="231"/>
      <c r="CYV57" s="231"/>
      <c r="CYW57" s="229"/>
      <c r="CYX57" s="230"/>
      <c r="CYY57" s="231"/>
      <c r="CYZ57" s="232"/>
      <c r="CZA57" s="233"/>
      <c r="CZB57" s="233"/>
      <c r="CZC57" s="233"/>
      <c r="CZD57" s="233"/>
      <c r="CZE57" s="233"/>
      <c r="CZF57" s="233"/>
      <c r="CZG57" s="231"/>
      <c r="CZH57" s="231"/>
      <c r="CZI57" s="229"/>
      <c r="CZJ57" s="230"/>
      <c r="CZK57" s="231"/>
      <c r="CZL57" s="232"/>
      <c r="CZM57" s="233"/>
      <c r="CZN57" s="233"/>
      <c r="CZO57" s="233"/>
      <c r="CZP57" s="233"/>
      <c r="CZQ57" s="233"/>
      <c r="CZR57" s="233"/>
      <c r="CZS57" s="231"/>
      <c r="CZT57" s="231"/>
      <c r="CZU57" s="229"/>
      <c r="CZV57" s="230"/>
      <c r="CZW57" s="231"/>
      <c r="CZX57" s="232"/>
      <c r="CZY57" s="233"/>
      <c r="CZZ57" s="233"/>
      <c r="DAA57" s="233"/>
      <c r="DAB57" s="233"/>
      <c r="DAC57" s="233"/>
      <c r="DAD57" s="233"/>
      <c r="DAE57" s="231"/>
      <c r="DAF57" s="231"/>
      <c r="DAG57" s="229"/>
      <c r="DAH57" s="230"/>
      <c r="DAI57" s="231"/>
      <c r="DAJ57" s="232"/>
      <c r="DAK57" s="233"/>
      <c r="DAL57" s="233"/>
      <c r="DAM57" s="233"/>
      <c r="DAN57" s="233"/>
      <c r="DAO57" s="233"/>
      <c r="DAP57" s="233"/>
      <c r="DAQ57" s="231"/>
      <c r="DAR57" s="231"/>
      <c r="DAS57" s="229"/>
      <c r="DAT57" s="230"/>
      <c r="DAU57" s="231"/>
      <c r="DAV57" s="232"/>
      <c r="DAW57" s="233"/>
      <c r="DAX57" s="233"/>
      <c r="DAY57" s="233"/>
      <c r="DAZ57" s="233"/>
      <c r="DBA57" s="233"/>
      <c r="DBB57" s="233"/>
      <c r="DBC57" s="231"/>
      <c r="DBD57" s="231"/>
      <c r="DBE57" s="229"/>
      <c r="DBF57" s="230"/>
      <c r="DBG57" s="231"/>
      <c r="DBH57" s="232"/>
      <c r="DBI57" s="233"/>
      <c r="DBJ57" s="233"/>
      <c r="DBK57" s="233"/>
      <c r="DBL57" s="233"/>
      <c r="DBM57" s="233"/>
      <c r="DBN57" s="233"/>
      <c r="DBO57" s="231"/>
      <c r="DBP57" s="231"/>
      <c r="DBQ57" s="229"/>
      <c r="DBR57" s="230"/>
      <c r="DBS57" s="231"/>
      <c r="DBT57" s="232"/>
      <c r="DBU57" s="233"/>
      <c r="DBV57" s="233"/>
      <c r="DBW57" s="233"/>
      <c r="DBX57" s="233"/>
      <c r="DBY57" s="233"/>
      <c r="DBZ57" s="233"/>
      <c r="DCA57" s="231"/>
      <c r="DCB57" s="231"/>
      <c r="DCC57" s="229"/>
      <c r="DCD57" s="230"/>
      <c r="DCE57" s="231"/>
      <c r="DCF57" s="232"/>
      <c r="DCG57" s="233"/>
      <c r="DCH57" s="233"/>
      <c r="DCI57" s="233"/>
      <c r="DCJ57" s="233"/>
      <c r="DCK57" s="233"/>
      <c r="DCL57" s="233"/>
      <c r="DCM57" s="231"/>
      <c r="DCN57" s="231"/>
      <c r="DCO57" s="229"/>
      <c r="DCP57" s="230"/>
      <c r="DCQ57" s="231"/>
      <c r="DCR57" s="232"/>
      <c r="DCS57" s="233"/>
      <c r="DCT57" s="233"/>
      <c r="DCU57" s="233"/>
      <c r="DCV57" s="233"/>
      <c r="DCW57" s="233"/>
      <c r="DCX57" s="233"/>
      <c r="DCY57" s="231"/>
      <c r="DCZ57" s="231"/>
      <c r="DDA57" s="229"/>
      <c r="DDB57" s="230"/>
      <c r="DDC57" s="231"/>
      <c r="DDD57" s="232"/>
      <c r="DDE57" s="233"/>
      <c r="DDF57" s="233"/>
      <c r="DDG57" s="233"/>
      <c r="DDH57" s="233"/>
      <c r="DDI57" s="233"/>
      <c r="DDJ57" s="233"/>
      <c r="DDK57" s="231"/>
      <c r="DDL57" s="231"/>
      <c r="DDM57" s="229"/>
      <c r="DDN57" s="230"/>
      <c r="DDO57" s="231"/>
      <c r="DDP57" s="232"/>
      <c r="DDQ57" s="233"/>
      <c r="DDR57" s="233"/>
      <c r="DDS57" s="233"/>
      <c r="DDT57" s="233"/>
      <c r="DDU57" s="233"/>
      <c r="DDV57" s="233"/>
      <c r="DDW57" s="231"/>
      <c r="DDX57" s="231"/>
      <c r="DDY57" s="229"/>
      <c r="DDZ57" s="230"/>
      <c r="DEA57" s="231"/>
      <c r="DEB57" s="232"/>
      <c r="DEC57" s="233"/>
      <c r="DED57" s="233"/>
      <c r="DEE57" s="233"/>
      <c r="DEF57" s="233"/>
      <c r="DEG57" s="233"/>
      <c r="DEH57" s="233"/>
      <c r="DEI57" s="231"/>
      <c r="DEJ57" s="231"/>
      <c r="DEK57" s="229"/>
      <c r="DEL57" s="230"/>
      <c r="DEM57" s="231"/>
      <c r="DEN57" s="232"/>
      <c r="DEO57" s="233"/>
      <c r="DEP57" s="233"/>
      <c r="DEQ57" s="233"/>
      <c r="DER57" s="233"/>
      <c r="DES57" s="233"/>
      <c r="DET57" s="233"/>
      <c r="DEU57" s="231"/>
      <c r="DEV57" s="231"/>
      <c r="DEW57" s="229"/>
      <c r="DEX57" s="230"/>
      <c r="DEY57" s="231"/>
      <c r="DEZ57" s="232"/>
      <c r="DFA57" s="233"/>
      <c r="DFB57" s="233"/>
      <c r="DFC57" s="233"/>
      <c r="DFD57" s="233"/>
      <c r="DFE57" s="233"/>
      <c r="DFF57" s="233"/>
      <c r="DFG57" s="231"/>
      <c r="DFH57" s="231"/>
      <c r="DFI57" s="229"/>
      <c r="DFJ57" s="230"/>
      <c r="DFK57" s="231"/>
      <c r="DFL57" s="232"/>
      <c r="DFM57" s="233"/>
      <c r="DFN57" s="233"/>
      <c r="DFO57" s="233"/>
      <c r="DFP57" s="233"/>
      <c r="DFQ57" s="233"/>
      <c r="DFR57" s="233"/>
      <c r="DFS57" s="231"/>
      <c r="DFT57" s="231"/>
      <c r="DFU57" s="229"/>
      <c r="DFV57" s="230"/>
      <c r="DFW57" s="231"/>
      <c r="DFX57" s="232"/>
      <c r="DFY57" s="233"/>
      <c r="DFZ57" s="233"/>
      <c r="DGA57" s="233"/>
      <c r="DGB57" s="233"/>
      <c r="DGC57" s="233"/>
      <c r="DGD57" s="233"/>
      <c r="DGE57" s="231"/>
      <c r="DGF57" s="231"/>
      <c r="DGG57" s="229"/>
      <c r="DGH57" s="230"/>
      <c r="DGI57" s="231"/>
      <c r="DGJ57" s="232"/>
      <c r="DGK57" s="233"/>
      <c r="DGL57" s="233"/>
      <c r="DGM57" s="233"/>
      <c r="DGN57" s="233"/>
      <c r="DGO57" s="233"/>
      <c r="DGP57" s="233"/>
      <c r="DGQ57" s="231"/>
      <c r="DGR57" s="231"/>
      <c r="DGS57" s="229"/>
      <c r="DGT57" s="230"/>
      <c r="DGU57" s="231"/>
      <c r="DGV57" s="232"/>
      <c r="DGW57" s="233"/>
      <c r="DGX57" s="233"/>
      <c r="DGY57" s="233"/>
      <c r="DGZ57" s="233"/>
      <c r="DHA57" s="233"/>
      <c r="DHB57" s="233"/>
      <c r="DHC57" s="231"/>
      <c r="DHD57" s="231"/>
      <c r="DHE57" s="229"/>
      <c r="DHF57" s="230"/>
      <c r="DHG57" s="231"/>
      <c r="DHH57" s="232"/>
      <c r="DHI57" s="233"/>
      <c r="DHJ57" s="233"/>
      <c r="DHK57" s="233"/>
      <c r="DHL57" s="233"/>
      <c r="DHM57" s="233"/>
      <c r="DHN57" s="233"/>
      <c r="DHO57" s="231"/>
      <c r="DHP57" s="231"/>
      <c r="DHQ57" s="229"/>
      <c r="DHR57" s="230"/>
      <c r="DHS57" s="231"/>
      <c r="DHT57" s="232"/>
      <c r="DHU57" s="233"/>
      <c r="DHV57" s="233"/>
      <c r="DHW57" s="233"/>
      <c r="DHX57" s="233"/>
      <c r="DHY57" s="233"/>
      <c r="DHZ57" s="233"/>
      <c r="DIA57" s="231"/>
      <c r="DIB57" s="231"/>
      <c r="DIC57" s="229"/>
      <c r="DID57" s="230"/>
      <c r="DIE57" s="231"/>
      <c r="DIF57" s="232"/>
      <c r="DIG57" s="233"/>
      <c r="DIH57" s="233"/>
      <c r="DII57" s="233"/>
      <c r="DIJ57" s="233"/>
      <c r="DIK57" s="233"/>
      <c r="DIL57" s="233"/>
      <c r="DIM57" s="231"/>
      <c r="DIN57" s="231"/>
      <c r="DIO57" s="229"/>
      <c r="DIP57" s="230"/>
      <c r="DIQ57" s="231"/>
      <c r="DIR57" s="232"/>
      <c r="DIS57" s="233"/>
      <c r="DIT57" s="233"/>
      <c r="DIU57" s="233"/>
      <c r="DIV57" s="233"/>
      <c r="DIW57" s="233"/>
      <c r="DIX57" s="233"/>
      <c r="DIY57" s="231"/>
      <c r="DIZ57" s="231"/>
      <c r="DJA57" s="229"/>
      <c r="DJB57" s="230"/>
      <c r="DJC57" s="231"/>
      <c r="DJD57" s="232"/>
      <c r="DJE57" s="233"/>
      <c r="DJF57" s="233"/>
      <c r="DJG57" s="233"/>
      <c r="DJH57" s="233"/>
      <c r="DJI57" s="233"/>
      <c r="DJJ57" s="233"/>
      <c r="DJK57" s="231"/>
      <c r="DJL57" s="231"/>
      <c r="DJM57" s="229"/>
      <c r="DJN57" s="230"/>
      <c r="DJO57" s="231"/>
      <c r="DJP57" s="232"/>
      <c r="DJQ57" s="233"/>
      <c r="DJR57" s="233"/>
      <c r="DJS57" s="233"/>
      <c r="DJT57" s="233"/>
      <c r="DJU57" s="233"/>
      <c r="DJV57" s="233"/>
      <c r="DJW57" s="231"/>
      <c r="DJX57" s="231"/>
      <c r="DJY57" s="229"/>
      <c r="DJZ57" s="230"/>
      <c r="DKA57" s="231"/>
      <c r="DKB57" s="232"/>
      <c r="DKC57" s="233"/>
      <c r="DKD57" s="233"/>
      <c r="DKE57" s="233"/>
      <c r="DKF57" s="233"/>
      <c r="DKG57" s="233"/>
      <c r="DKH57" s="233"/>
      <c r="DKI57" s="231"/>
      <c r="DKJ57" s="231"/>
      <c r="DKK57" s="229"/>
      <c r="DKL57" s="230"/>
      <c r="DKM57" s="231"/>
      <c r="DKN57" s="232"/>
      <c r="DKO57" s="233"/>
      <c r="DKP57" s="233"/>
      <c r="DKQ57" s="233"/>
      <c r="DKR57" s="233"/>
      <c r="DKS57" s="233"/>
      <c r="DKT57" s="233"/>
      <c r="DKU57" s="231"/>
      <c r="DKV57" s="231"/>
      <c r="DKW57" s="229"/>
      <c r="DKX57" s="230"/>
      <c r="DKY57" s="231"/>
      <c r="DKZ57" s="232"/>
      <c r="DLA57" s="233"/>
      <c r="DLB57" s="233"/>
      <c r="DLC57" s="233"/>
      <c r="DLD57" s="233"/>
      <c r="DLE57" s="233"/>
      <c r="DLF57" s="233"/>
      <c r="DLG57" s="231"/>
      <c r="DLH57" s="231"/>
      <c r="DLI57" s="229"/>
      <c r="DLJ57" s="230"/>
      <c r="DLK57" s="231"/>
      <c r="DLL57" s="232"/>
      <c r="DLM57" s="233"/>
      <c r="DLN57" s="233"/>
      <c r="DLO57" s="233"/>
      <c r="DLP57" s="233"/>
      <c r="DLQ57" s="233"/>
      <c r="DLR57" s="233"/>
      <c r="DLS57" s="231"/>
      <c r="DLT57" s="231"/>
      <c r="DLU57" s="229"/>
      <c r="DLV57" s="230"/>
      <c r="DLW57" s="231"/>
      <c r="DLX57" s="232"/>
      <c r="DLY57" s="233"/>
      <c r="DLZ57" s="233"/>
      <c r="DMA57" s="233"/>
      <c r="DMB57" s="233"/>
      <c r="DMC57" s="233"/>
      <c r="DMD57" s="233"/>
      <c r="DME57" s="231"/>
      <c r="DMF57" s="231"/>
      <c r="DMG57" s="229"/>
      <c r="DMH57" s="230"/>
      <c r="DMI57" s="231"/>
      <c r="DMJ57" s="232"/>
      <c r="DMK57" s="233"/>
      <c r="DML57" s="233"/>
      <c r="DMM57" s="233"/>
      <c r="DMN57" s="233"/>
      <c r="DMO57" s="233"/>
      <c r="DMP57" s="233"/>
      <c r="DMQ57" s="231"/>
      <c r="DMR57" s="231"/>
      <c r="DMS57" s="229"/>
      <c r="DMT57" s="230"/>
      <c r="DMU57" s="231"/>
      <c r="DMV57" s="232"/>
      <c r="DMW57" s="233"/>
      <c r="DMX57" s="233"/>
      <c r="DMY57" s="233"/>
      <c r="DMZ57" s="233"/>
      <c r="DNA57" s="233"/>
      <c r="DNB57" s="233"/>
      <c r="DNC57" s="231"/>
      <c r="DND57" s="231"/>
      <c r="DNE57" s="229"/>
      <c r="DNF57" s="230"/>
      <c r="DNG57" s="231"/>
      <c r="DNH57" s="232"/>
      <c r="DNI57" s="233"/>
      <c r="DNJ57" s="233"/>
      <c r="DNK57" s="233"/>
      <c r="DNL57" s="233"/>
      <c r="DNM57" s="233"/>
      <c r="DNN57" s="233"/>
      <c r="DNO57" s="231"/>
      <c r="DNP57" s="231"/>
      <c r="DNQ57" s="229"/>
      <c r="DNR57" s="230"/>
      <c r="DNS57" s="231"/>
      <c r="DNT57" s="232"/>
      <c r="DNU57" s="233"/>
      <c r="DNV57" s="233"/>
      <c r="DNW57" s="233"/>
      <c r="DNX57" s="233"/>
      <c r="DNY57" s="233"/>
      <c r="DNZ57" s="233"/>
      <c r="DOA57" s="231"/>
      <c r="DOB57" s="231"/>
      <c r="DOC57" s="229"/>
      <c r="DOD57" s="230"/>
      <c r="DOE57" s="231"/>
      <c r="DOF57" s="232"/>
      <c r="DOG57" s="233"/>
      <c r="DOH57" s="233"/>
      <c r="DOI57" s="233"/>
      <c r="DOJ57" s="233"/>
      <c r="DOK57" s="233"/>
      <c r="DOL57" s="233"/>
      <c r="DOM57" s="231"/>
      <c r="DON57" s="231"/>
      <c r="DOO57" s="229"/>
      <c r="DOP57" s="230"/>
      <c r="DOQ57" s="231"/>
      <c r="DOR57" s="232"/>
      <c r="DOS57" s="233"/>
      <c r="DOT57" s="233"/>
      <c r="DOU57" s="233"/>
      <c r="DOV57" s="233"/>
      <c r="DOW57" s="233"/>
      <c r="DOX57" s="233"/>
      <c r="DOY57" s="231"/>
      <c r="DOZ57" s="231"/>
      <c r="DPA57" s="229"/>
      <c r="DPB57" s="230"/>
      <c r="DPC57" s="231"/>
      <c r="DPD57" s="232"/>
      <c r="DPE57" s="233"/>
      <c r="DPF57" s="233"/>
      <c r="DPG57" s="233"/>
      <c r="DPH57" s="233"/>
      <c r="DPI57" s="233"/>
      <c r="DPJ57" s="233"/>
      <c r="DPK57" s="231"/>
      <c r="DPL57" s="231"/>
      <c r="DPM57" s="229"/>
      <c r="DPN57" s="230"/>
      <c r="DPO57" s="231"/>
      <c r="DPP57" s="232"/>
      <c r="DPQ57" s="233"/>
      <c r="DPR57" s="233"/>
      <c r="DPS57" s="233"/>
      <c r="DPT57" s="233"/>
      <c r="DPU57" s="233"/>
      <c r="DPV57" s="233"/>
      <c r="DPW57" s="231"/>
      <c r="DPX57" s="231"/>
      <c r="DPY57" s="229"/>
      <c r="DPZ57" s="230"/>
      <c r="DQA57" s="231"/>
      <c r="DQB57" s="232"/>
      <c r="DQC57" s="233"/>
      <c r="DQD57" s="233"/>
      <c r="DQE57" s="233"/>
      <c r="DQF57" s="233"/>
      <c r="DQG57" s="233"/>
      <c r="DQH57" s="233"/>
      <c r="DQI57" s="231"/>
      <c r="DQJ57" s="231"/>
      <c r="DQK57" s="229"/>
      <c r="DQL57" s="230"/>
      <c r="DQM57" s="231"/>
      <c r="DQN57" s="232"/>
      <c r="DQO57" s="233"/>
      <c r="DQP57" s="233"/>
      <c r="DQQ57" s="233"/>
      <c r="DQR57" s="233"/>
      <c r="DQS57" s="233"/>
      <c r="DQT57" s="233"/>
      <c r="DQU57" s="231"/>
      <c r="DQV57" s="231"/>
      <c r="DQW57" s="229"/>
      <c r="DQX57" s="230"/>
      <c r="DQY57" s="231"/>
      <c r="DQZ57" s="232"/>
      <c r="DRA57" s="233"/>
      <c r="DRB57" s="233"/>
      <c r="DRC57" s="233"/>
      <c r="DRD57" s="233"/>
      <c r="DRE57" s="233"/>
      <c r="DRF57" s="233"/>
      <c r="DRG57" s="231"/>
      <c r="DRH57" s="231"/>
      <c r="DRI57" s="229"/>
      <c r="DRJ57" s="230"/>
      <c r="DRK57" s="231"/>
      <c r="DRL57" s="232"/>
      <c r="DRM57" s="233"/>
      <c r="DRN57" s="233"/>
      <c r="DRO57" s="233"/>
      <c r="DRP57" s="233"/>
      <c r="DRQ57" s="233"/>
      <c r="DRR57" s="233"/>
      <c r="DRS57" s="231"/>
      <c r="DRT57" s="231"/>
      <c r="DRU57" s="229"/>
      <c r="DRV57" s="230"/>
      <c r="DRW57" s="231"/>
      <c r="DRX57" s="232"/>
      <c r="DRY57" s="233"/>
      <c r="DRZ57" s="233"/>
      <c r="DSA57" s="233"/>
      <c r="DSB57" s="233"/>
      <c r="DSC57" s="233"/>
      <c r="DSD57" s="233"/>
      <c r="DSE57" s="231"/>
      <c r="DSF57" s="231"/>
      <c r="DSG57" s="229"/>
      <c r="DSH57" s="230"/>
      <c r="DSI57" s="231"/>
      <c r="DSJ57" s="232"/>
      <c r="DSK57" s="233"/>
      <c r="DSL57" s="233"/>
      <c r="DSM57" s="233"/>
      <c r="DSN57" s="233"/>
      <c r="DSO57" s="233"/>
      <c r="DSP57" s="233"/>
      <c r="DSQ57" s="231"/>
      <c r="DSR57" s="231"/>
      <c r="DSS57" s="229"/>
      <c r="DST57" s="230"/>
      <c r="DSU57" s="231"/>
      <c r="DSV57" s="232"/>
      <c r="DSW57" s="233"/>
      <c r="DSX57" s="233"/>
      <c r="DSY57" s="233"/>
      <c r="DSZ57" s="233"/>
      <c r="DTA57" s="233"/>
      <c r="DTB57" s="233"/>
      <c r="DTC57" s="231"/>
      <c r="DTD57" s="231"/>
      <c r="DTE57" s="229"/>
      <c r="DTF57" s="230"/>
      <c r="DTG57" s="231"/>
      <c r="DTH57" s="232"/>
      <c r="DTI57" s="233"/>
      <c r="DTJ57" s="233"/>
      <c r="DTK57" s="233"/>
      <c r="DTL57" s="233"/>
      <c r="DTM57" s="233"/>
      <c r="DTN57" s="233"/>
      <c r="DTO57" s="231"/>
      <c r="DTP57" s="231"/>
      <c r="DTQ57" s="229"/>
      <c r="DTR57" s="230"/>
      <c r="DTS57" s="231"/>
      <c r="DTT57" s="232"/>
      <c r="DTU57" s="233"/>
      <c r="DTV57" s="233"/>
      <c r="DTW57" s="233"/>
      <c r="DTX57" s="233"/>
      <c r="DTY57" s="233"/>
      <c r="DTZ57" s="233"/>
      <c r="DUA57" s="231"/>
      <c r="DUB57" s="231"/>
      <c r="DUC57" s="229"/>
      <c r="DUD57" s="230"/>
      <c r="DUE57" s="231"/>
      <c r="DUF57" s="232"/>
      <c r="DUG57" s="233"/>
      <c r="DUH57" s="233"/>
      <c r="DUI57" s="233"/>
      <c r="DUJ57" s="233"/>
      <c r="DUK57" s="233"/>
      <c r="DUL57" s="233"/>
      <c r="DUM57" s="231"/>
      <c r="DUN57" s="231"/>
      <c r="DUO57" s="229"/>
      <c r="DUP57" s="230"/>
      <c r="DUQ57" s="231"/>
      <c r="DUR57" s="232"/>
      <c r="DUS57" s="233"/>
      <c r="DUT57" s="233"/>
      <c r="DUU57" s="233"/>
      <c r="DUV57" s="233"/>
      <c r="DUW57" s="233"/>
      <c r="DUX57" s="233"/>
      <c r="DUY57" s="231"/>
      <c r="DUZ57" s="231"/>
      <c r="DVA57" s="229"/>
      <c r="DVB57" s="230"/>
      <c r="DVC57" s="231"/>
      <c r="DVD57" s="232"/>
      <c r="DVE57" s="233"/>
      <c r="DVF57" s="233"/>
      <c r="DVG57" s="233"/>
      <c r="DVH57" s="233"/>
      <c r="DVI57" s="233"/>
      <c r="DVJ57" s="233"/>
      <c r="DVK57" s="231"/>
      <c r="DVL57" s="231"/>
      <c r="DVM57" s="229"/>
      <c r="DVN57" s="230"/>
      <c r="DVO57" s="231"/>
      <c r="DVP57" s="232"/>
      <c r="DVQ57" s="233"/>
      <c r="DVR57" s="233"/>
      <c r="DVS57" s="233"/>
      <c r="DVT57" s="233"/>
      <c r="DVU57" s="233"/>
      <c r="DVV57" s="233"/>
      <c r="DVW57" s="231"/>
      <c r="DVX57" s="231"/>
      <c r="DVY57" s="229"/>
      <c r="DVZ57" s="230"/>
      <c r="DWA57" s="231"/>
      <c r="DWB57" s="232"/>
      <c r="DWC57" s="233"/>
      <c r="DWD57" s="233"/>
      <c r="DWE57" s="233"/>
      <c r="DWF57" s="233"/>
      <c r="DWG57" s="233"/>
      <c r="DWH57" s="233"/>
      <c r="DWI57" s="231"/>
      <c r="DWJ57" s="231"/>
      <c r="DWK57" s="229"/>
      <c r="DWL57" s="230"/>
      <c r="DWM57" s="231"/>
      <c r="DWN57" s="232"/>
      <c r="DWO57" s="233"/>
      <c r="DWP57" s="233"/>
      <c r="DWQ57" s="233"/>
      <c r="DWR57" s="233"/>
      <c r="DWS57" s="233"/>
      <c r="DWT57" s="233"/>
      <c r="DWU57" s="231"/>
      <c r="DWV57" s="231"/>
      <c r="DWW57" s="229"/>
      <c r="DWX57" s="230"/>
      <c r="DWY57" s="231"/>
      <c r="DWZ57" s="232"/>
      <c r="DXA57" s="233"/>
      <c r="DXB57" s="233"/>
      <c r="DXC57" s="233"/>
      <c r="DXD57" s="233"/>
      <c r="DXE57" s="233"/>
      <c r="DXF57" s="233"/>
      <c r="DXG57" s="231"/>
      <c r="DXH57" s="231"/>
      <c r="DXI57" s="229"/>
      <c r="DXJ57" s="230"/>
      <c r="DXK57" s="231"/>
      <c r="DXL57" s="232"/>
      <c r="DXM57" s="233"/>
      <c r="DXN57" s="233"/>
      <c r="DXO57" s="233"/>
      <c r="DXP57" s="233"/>
      <c r="DXQ57" s="233"/>
      <c r="DXR57" s="233"/>
      <c r="DXS57" s="231"/>
      <c r="DXT57" s="231"/>
      <c r="DXU57" s="229"/>
      <c r="DXV57" s="230"/>
      <c r="DXW57" s="231"/>
      <c r="DXX57" s="232"/>
      <c r="DXY57" s="233"/>
      <c r="DXZ57" s="233"/>
      <c r="DYA57" s="233"/>
      <c r="DYB57" s="233"/>
      <c r="DYC57" s="233"/>
      <c r="DYD57" s="233"/>
      <c r="DYE57" s="231"/>
      <c r="DYF57" s="231"/>
      <c r="DYG57" s="229"/>
      <c r="DYH57" s="230"/>
      <c r="DYI57" s="231"/>
      <c r="DYJ57" s="232"/>
      <c r="DYK57" s="233"/>
      <c r="DYL57" s="233"/>
      <c r="DYM57" s="233"/>
      <c r="DYN57" s="233"/>
      <c r="DYO57" s="233"/>
      <c r="DYP57" s="233"/>
      <c r="DYQ57" s="231"/>
      <c r="DYR57" s="231"/>
      <c r="DYS57" s="229"/>
      <c r="DYT57" s="230"/>
      <c r="DYU57" s="231"/>
      <c r="DYV57" s="232"/>
      <c r="DYW57" s="233"/>
      <c r="DYX57" s="233"/>
      <c r="DYY57" s="233"/>
      <c r="DYZ57" s="233"/>
      <c r="DZA57" s="233"/>
      <c r="DZB57" s="233"/>
      <c r="DZC57" s="231"/>
      <c r="DZD57" s="231"/>
      <c r="DZE57" s="229"/>
      <c r="DZF57" s="230"/>
      <c r="DZG57" s="231"/>
      <c r="DZH57" s="232"/>
      <c r="DZI57" s="233"/>
      <c r="DZJ57" s="233"/>
      <c r="DZK57" s="233"/>
      <c r="DZL57" s="233"/>
      <c r="DZM57" s="233"/>
      <c r="DZN57" s="233"/>
      <c r="DZO57" s="231"/>
      <c r="DZP57" s="231"/>
      <c r="DZQ57" s="229"/>
      <c r="DZR57" s="230"/>
      <c r="DZS57" s="231"/>
      <c r="DZT57" s="232"/>
      <c r="DZU57" s="233"/>
      <c r="DZV57" s="233"/>
      <c r="DZW57" s="233"/>
      <c r="DZX57" s="233"/>
      <c r="DZY57" s="233"/>
      <c r="DZZ57" s="233"/>
      <c r="EAA57" s="231"/>
      <c r="EAB57" s="231"/>
      <c r="EAC57" s="229"/>
      <c r="EAD57" s="230"/>
      <c r="EAE57" s="231"/>
      <c r="EAF57" s="232"/>
      <c r="EAG57" s="233"/>
      <c r="EAH57" s="233"/>
      <c r="EAI57" s="233"/>
      <c r="EAJ57" s="233"/>
      <c r="EAK57" s="233"/>
      <c r="EAL57" s="233"/>
      <c r="EAM57" s="231"/>
      <c r="EAN57" s="231"/>
      <c r="EAO57" s="229"/>
      <c r="EAP57" s="230"/>
      <c r="EAQ57" s="231"/>
      <c r="EAR57" s="232"/>
      <c r="EAS57" s="233"/>
      <c r="EAT57" s="233"/>
      <c r="EAU57" s="233"/>
      <c r="EAV57" s="233"/>
      <c r="EAW57" s="233"/>
      <c r="EAX57" s="233"/>
      <c r="EAY57" s="231"/>
      <c r="EAZ57" s="231"/>
      <c r="EBA57" s="229"/>
      <c r="EBB57" s="230"/>
      <c r="EBC57" s="231"/>
      <c r="EBD57" s="232"/>
      <c r="EBE57" s="233"/>
      <c r="EBF57" s="233"/>
      <c r="EBG57" s="233"/>
      <c r="EBH57" s="233"/>
      <c r="EBI57" s="233"/>
      <c r="EBJ57" s="233"/>
      <c r="EBK57" s="231"/>
      <c r="EBL57" s="231"/>
      <c r="EBM57" s="229"/>
      <c r="EBN57" s="230"/>
      <c r="EBO57" s="231"/>
      <c r="EBP57" s="232"/>
      <c r="EBQ57" s="233"/>
      <c r="EBR57" s="233"/>
      <c r="EBS57" s="233"/>
      <c r="EBT57" s="233"/>
      <c r="EBU57" s="233"/>
      <c r="EBV57" s="233"/>
      <c r="EBW57" s="231"/>
      <c r="EBX57" s="231"/>
      <c r="EBY57" s="229"/>
      <c r="EBZ57" s="230"/>
      <c r="ECA57" s="231"/>
      <c r="ECB57" s="232"/>
      <c r="ECC57" s="233"/>
      <c r="ECD57" s="233"/>
      <c r="ECE57" s="233"/>
      <c r="ECF57" s="233"/>
      <c r="ECG57" s="233"/>
      <c r="ECH57" s="233"/>
      <c r="ECI57" s="231"/>
      <c r="ECJ57" s="231"/>
      <c r="ECK57" s="229"/>
      <c r="ECL57" s="230"/>
      <c r="ECM57" s="231"/>
      <c r="ECN57" s="232"/>
      <c r="ECO57" s="233"/>
      <c r="ECP57" s="233"/>
      <c r="ECQ57" s="233"/>
      <c r="ECR57" s="233"/>
      <c r="ECS57" s="233"/>
      <c r="ECT57" s="233"/>
      <c r="ECU57" s="231"/>
      <c r="ECV57" s="231"/>
      <c r="ECW57" s="229"/>
      <c r="ECX57" s="230"/>
      <c r="ECY57" s="231"/>
      <c r="ECZ57" s="232"/>
      <c r="EDA57" s="233"/>
      <c r="EDB57" s="233"/>
      <c r="EDC57" s="233"/>
      <c r="EDD57" s="233"/>
      <c r="EDE57" s="233"/>
      <c r="EDF57" s="233"/>
      <c r="EDG57" s="231"/>
      <c r="EDH57" s="231"/>
      <c r="EDI57" s="229"/>
      <c r="EDJ57" s="230"/>
      <c r="EDK57" s="231"/>
      <c r="EDL57" s="232"/>
      <c r="EDM57" s="233"/>
      <c r="EDN57" s="233"/>
      <c r="EDO57" s="233"/>
      <c r="EDP57" s="233"/>
      <c r="EDQ57" s="233"/>
      <c r="EDR57" s="233"/>
      <c r="EDS57" s="231"/>
      <c r="EDT57" s="231"/>
      <c r="EDU57" s="229"/>
      <c r="EDV57" s="230"/>
      <c r="EDW57" s="231"/>
      <c r="EDX57" s="232"/>
      <c r="EDY57" s="233"/>
      <c r="EDZ57" s="233"/>
      <c r="EEA57" s="233"/>
      <c r="EEB57" s="233"/>
      <c r="EEC57" s="233"/>
      <c r="EED57" s="233"/>
      <c r="EEE57" s="231"/>
      <c r="EEF57" s="231"/>
      <c r="EEG57" s="229"/>
      <c r="EEH57" s="230"/>
      <c r="EEI57" s="231"/>
      <c r="EEJ57" s="232"/>
      <c r="EEK57" s="233"/>
      <c r="EEL57" s="233"/>
      <c r="EEM57" s="233"/>
      <c r="EEN57" s="233"/>
      <c r="EEO57" s="233"/>
      <c r="EEP57" s="233"/>
      <c r="EEQ57" s="231"/>
      <c r="EER57" s="231"/>
      <c r="EES57" s="229"/>
      <c r="EET57" s="230"/>
      <c r="EEU57" s="231"/>
      <c r="EEV57" s="232"/>
      <c r="EEW57" s="233"/>
      <c r="EEX57" s="233"/>
      <c r="EEY57" s="233"/>
      <c r="EEZ57" s="233"/>
      <c r="EFA57" s="233"/>
      <c r="EFB57" s="233"/>
      <c r="EFC57" s="231"/>
      <c r="EFD57" s="231"/>
      <c r="EFE57" s="229"/>
      <c r="EFF57" s="230"/>
      <c r="EFG57" s="231"/>
      <c r="EFH57" s="232"/>
      <c r="EFI57" s="233"/>
      <c r="EFJ57" s="233"/>
      <c r="EFK57" s="233"/>
      <c r="EFL57" s="233"/>
      <c r="EFM57" s="233"/>
      <c r="EFN57" s="233"/>
      <c r="EFO57" s="231"/>
      <c r="EFP57" s="231"/>
      <c r="EFQ57" s="229"/>
      <c r="EFR57" s="230"/>
      <c r="EFS57" s="231"/>
      <c r="EFT57" s="232"/>
      <c r="EFU57" s="233"/>
      <c r="EFV57" s="233"/>
      <c r="EFW57" s="233"/>
      <c r="EFX57" s="233"/>
      <c r="EFY57" s="233"/>
      <c r="EFZ57" s="233"/>
      <c r="EGA57" s="231"/>
      <c r="EGB57" s="231"/>
      <c r="EGC57" s="229"/>
      <c r="EGD57" s="230"/>
      <c r="EGE57" s="231"/>
      <c r="EGF57" s="232"/>
      <c r="EGG57" s="233"/>
      <c r="EGH57" s="233"/>
      <c r="EGI57" s="233"/>
      <c r="EGJ57" s="233"/>
      <c r="EGK57" s="233"/>
      <c r="EGL57" s="233"/>
      <c r="EGM57" s="231"/>
      <c r="EGN57" s="231"/>
      <c r="EGO57" s="229"/>
      <c r="EGP57" s="230"/>
      <c r="EGQ57" s="231"/>
      <c r="EGR57" s="232"/>
      <c r="EGS57" s="233"/>
      <c r="EGT57" s="233"/>
      <c r="EGU57" s="233"/>
      <c r="EGV57" s="233"/>
      <c r="EGW57" s="233"/>
      <c r="EGX57" s="233"/>
      <c r="EGY57" s="231"/>
      <c r="EGZ57" s="231"/>
      <c r="EHA57" s="229"/>
      <c r="EHB57" s="230"/>
      <c r="EHC57" s="231"/>
      <c r="EHD57" s="232"/>
      <c r="EHE57" s="233"/>
      <c r="EHF57" s="233"/>
      <c r="EHG57" s="233"/>
      <c r="EHH57" s="233"/>
      <c r="EHI57" s="233"/>
      <c r="EHJ57" s="233"/>
      <c r="EHK57" s="231"/>
      <c r="EHL57" s="231"/>
      <c r="EHM57" s="229"/>
      <c r="EHN57" s="230"/>
      <c r="EHO57" s="231"/>
      <c r="EHP57" s="232"/>
      <c r="EHQ57" s="233"/>
      <c r="EHR57" s="233"/>
      <c r="EHS57" s="233"/>
      <c r="EHT57" s="233"/>
      <c r="EHU57" s="233"/>
      <c r="EHV57" s="233"/>
      <c r="EHW57" s="231"/>
      <c r="EHX57" s="231"/>
      <c r="EHY57" s="229"/>
      <c r="EHZ57" s="230"/>
      <c r="EIA57" s="231"/>
      <c r="EIB57" s="232"/>
      <c r="EIC57" s="233"/>
      <c r="EID57" s="233"/>
      <c r="EIE57" s="233"/>
      <c r="EIF57" s="233"/>
      <c r="EIG57" s="233"/>
      <c r="EIH57" s="233"/>
      <c r="EII57" s="231"/>
      <c r="EIJ57" s="231"/>
      <c r="EIK57" s="229"/>
      <c r="EIL57" s="230"/>
      <c r="EIM57" s="231"/>
      <c r="EIN57" s="232"/>
      <c r="EIO57" s="233"/>
      <c r="EIP57" s="233"/>
      <c r="EIQ57" s="233"/>
      <c r="EIR57" s="233"/>
      <c r="EIS57" s="233"/>
      <c r="EIT57" s="233"/>
      <c r="EIU57" s="231"/>
      <c r="EIV57" s="231"/>
      <c r="EIW57" s="229"/>
      <c r="EIX57" s="230"/>
      <c r="EIY57" s="231"/>
      <c r="EIZ57" s="232"/>
      <c r="EJA57" s="233"/>
      <c r="EJB57" s="233"/>
      <c r="EJC57" s="233"/>
      <c r="EJD57" s="233"/>
      <c r="EJE57" s="233"/>
      <c r="EJF57" s="233"/>
      <c r="EJG57" s="231"/>
      <c r="EJH57" s="231"/>
      <c r="EJI57" s="229"/>
      <c r="EJJ57" s="230"/>
      <c r="EJK57" s="231"/>
      <c r="EJL57" s="232"/>
      <c r="EJM57" s="233"/>
      <c r="EJN57" s="233"/>
      <c r="EJO57" s="233"/>
      <c r="EJP57" s="233"/>
      <c r="EJQ57" s="233"/>
      <c r="EJR57" s="233"/>
      <c r="EJS57" s="231"/>
      <c r="EJT57" s="231"/>
      <c r="EJU57" s="229"/>
      <c r="EJV57" s="230"/>
      <c r="EJW57" s="231"/>
      <c r="EJX57" s="232"/>
      <c r="EJY57" s="233"/>
      <c r="EJZ57" s="233"/>
      <c r="EKA57" s="233"/>
      <c r="EKB57" s="233"/>
      <c r="EKC57" s="233"/>
      <c r="EKD57" s="233"/>
      <c r="EKE57" s="231"/>
      <c r="EKF57" s="231"/>
      <c r="EKG57" s="229"/>
      <c r="EKH57" s="230"/>
      <c r="EKI57" s="231"/>
      <c r="EKJ57" s="232"/>
      <c r="EKK57" s="233"/>
      <c r="EKL57" s="233"/>
      <c r="EKM57" s="233"/>
      <c r="EKN57" s="233"/>
      <c r="EKO57" s="233"/>
      <c r="EKP57" s="233"/>
      <c r="EKQ57" s="231"/>
      <c r="EKR57" s="231"/>
      <c r="EKS57" s="229"/>
      <c r="EKT57" s="230"/>
      <c r="EKU57" s="231"/>
      <c r="EKV57" s="232"/>
      <c r="EKW57" s="233"/>
      <c r="EKX57" s="233"/>
      <c r="EKY57" s="233"/>
      <c r="EKZ57" s="233"/>
      <c r="ELA57" s="233"/>
      <c r="ELB57" s="233"/>
      <c r="ELC57" s="231"/>
      <c r="ELD57" s="231"/>
      <c r="ELE57" s="229"/>
      <c r="ELF57" s="230"/>
      <c r="ELG57" s="231"/>
      <c r="ELH57" s="232"/>
      <c r="ELI57" s="233"/>
      <c r="ELJ57" s="233"/>
      <c r="ELK57" s="233"/>
      <c r="ELL57" s="233"/>
      <c r="ELM57" s="233"/>
      <c r="ELN57" s="233"/>
      <c r="ELO57" s="231"/>
      <c r="ELP57" s="231"/>
      <c r="ELQ57" s="229"/>
      <c r="ELR57" s="230"/>
      <c r="ELS57" s="231"/>
      <c r="ELT57" s="232"/>
      <c r="ELU57" s="233"/>
      <c r="ELV57" s="233"/>
      <c r="ELW57" s="233"/>
      <c r="ELX57" s="233"/>
      <c r="ELY57" s="233"/>
      <c r="ELZ57" s="233"/>
      <c r="EMA57" s="231"/>
      <c r="EMB57" s="231"/>
      <c r="EMC57" s="229"/>
      <c r="EMD57" s="230"/>
      <c r="EME57" s="231"/>
      <c r="EMF57" s="232"/>
      <c r="EMG57" s="233"/>
      <c r="EMH57" s="233"/>
      <c r="EMI57" s="233"/>
      <c r="EMJ57" s="233"/>
      <c r="EMK57" s="233"/>
      <c r="EML57" s="233"/>
      <c r="EMM57" s="231"/>
      <c r="EMN57" s="231"/>
      <c r="EMO57" s="229"/>
      <c r="EMP57" s="230"/>
      <c r="EMQ57" s="231"/>
      <c r="EMR57" s="232"/>
      <c r="EMS57" s="233"/>
      <c r="EMT57" s="233"/>
      <c r="EMU57" s="233"/>
      <c r="EMV57" s="233"/>
      <c r="EMW57" s="233"/>
      <c r="EMX57" s="233"/>
      <c r="EMY57" s="231"/>
      <c r="EMZ57" s="231"/>
      <c r="ENA57" s="229"/>
      <c r="ENB57" s="230"/>
      <c r="ENC57" s="231"/>
      <c r="END57" s="232"/>
      <c r="ENE57" s="233"/>
      <c r="ENF57" s="233"/>
      <c r="ENG57" s="233"/>
      <c r="ENH57" s="233"/>
      <c r="ENI57" s="233"/>
      <c r="ENJ57" s="233"/>
      <c r="ENK57" s="231"/>
      <c r="ENL57" s="231"/>
      <c r="ENM57" s="229"/>
      <c r="ENN57" s="230"/>
      <c r="ENO57" s="231"/>
      <c r="ENP57" s="232"/>
      <c r="ENQ57" s="233"/>
      <c r="ENR57" s="233"/>
      <c r="ENS57" s="233"/>
      <c r="ENT57" s="233"/>
      <c r="ENU57" s="233"/>
      <c r="ENV57" s="233"/>
      <c r="ENW57" s="231"/>
      <c r="ENX57" s="231"/>
      <c r="ENY57" s="229"/>
      <c r="ENZ57" s="230"/>
      <c r="EOA57" s="231"/>
      <c r="EOB57" s="232"/>
      <c r="EOC57" s="233"/>
      <c r="EOD57" s="233"/>
      <c r="EOE57" s="233"/>
      <c r="EOF57" s="233"/>
      <c r="EOG57" s="233"/>
      <c r="EOH57" s="233"/>
      <c r="EOI57" s="231"/>
      <c r="EOJ57" s="231"/>
      <c r="EOK57" s="229"/>
      <c r="EOL57" s="230"/>
      <c r="EOM57" s="231"/>
      <c r="EON57" s="232"/>
      <c r="EOO57" s="233"/>
      <c r="EOP57" s="233"/>
      <c r="EOQ57" s="233"/>
      <c r="EOR57" s="233"/>
      <c r="EOS57" s="233"/>
      <c r="EOT57" s="233"/>
      <c r="EOU57" s="231"/>
      <c r="EOV57" s="231"/>
      <c r="EOW57" s="229"/>
      <c r="EOX57" s="230"/>
      <c r="EOY57" s="231"/>
      <c r="EOZ57" s="232"/>
      <c r="EPA57" s="233"/>
      <c r="EPB57" s="233"/>
      <c r="EPC57" s="233"/>
      <c r="EPD57" s="233"/>
      <c r="EPE57" s="233"/>
      <c r="EPF57" s="233"/>
      <c r="EPG57" s="231"/>
      <c r="EPH57" s="231"/>
      <c r="EPI57" s="229"/>
      <c r="EPJ57" s="230"/>
      <c r="EPK57" s="231"/>
      <c r="EPL57" s="232"/>
      <c r="EPM57" s="233"/>
      <c r="EPN57" s="233"/>
      <c r="EPO57" s="233"/>
      <c r="EPP57" s="233"/>
      <c r="EPQ57" s="233"/>
      <c r="EPR57" s="233"/>
      <c r="EPS57" s="231"/>
      <c r="EPT57" s="231"/>
      <c r="EPU57" s="229"/>
      <c r="EPV57" s="230"/>
      <c r="EPW57" s="231"/>
      <c r="EPX57" s="232"/>
      <c r="EPY57" s="233"/>
      <c r="EPZ57" s="233"/>
      <c r="EQA57" s="233"/>
      <c r="EQB57" s="233"/>
      <c r="EQC57" s="233"/>
      <c r="EQD57" s="233"/>
      <c r="EQE57" s="231"/>
      <c r="EQF57" s="231"/>
      <c r="EQG57" s="229"/>
      <c r="EQH57" s="230"/>
      <c r="EQI57" s="231"/>
      <c r="EQJ57" s="232"/>
      <c r="EQK57" s="233"/>
      <c r="EQL57" s="233"/>
      <c r="EQM57" s="233"/>
      <c r="EQN57" s="233"/>
      <c r="EQO57" s="233"/>
      <c r="EQP57" s="233"/>
      <c r="EQQ57" s="231"/>
      <c r="EQR57" s="231"/>
      <c r="EQS57" s="229"/>
      <c r="EQT57" s="230"/>
      <c r="EQU57" s="231"/>
      <c r="EQV57" s="232"/>
      <c r="EQW57" s="233"/>
      <c r="EQX57" s="233"/>
      <c r="EQY57" s="233"/>
      <c r="EQZ57" s="233"/>
      <c r="ERA57" s="233"/>
      <c r="ERB57" s="233"/>
      <c r="ERC57" s="231"/>
      <c r="ERD57" s="231"/>
      <c r="ERE57" s="229"/>
      <c r="ERF57" s="230"/>
      <c r="ERG57" s="231"/>
      <c r="ERH57" s="232"/>
      <c r="ERI57" s="233"/>
      <c r="ERJ57" s="233"/>
      <c r="ERK57" s="233"/>
      <c r="ERL57" s="233"/>
      <c r="ERM57" s="233"/>
      <c r="ERN57" s="233"/>
      <c r="ERO57" s="231"/>
      <c r="ERP57" s="231"/>
      <c r="ERQ57" s="229"/>
      <c r="ERR57" s="230"/>
      <c r="ERS57" s="231"/>
      <c r="ERT57" s="232"/>
      <c r="ERU57" s="233"/>
      <c r="ERV57" s="233"/>
      <c r="ERW57" s="233"/>
      <c r="ERX57" s="233"/>
      <c r="ERY57" s="233"/>
      <c r="ERZ57" s="233"/>
      <c r="ESA57" s="231"/>
      <c r="ESB57" s="231"/>
      <c r="ESC57" s="229"/>
      <c r="ESD57" s="230"/>
      <c r="ESE57" s="231"/>
      <c r="ESF57" s="232"/>
      <c r="ESG57" s="233"/>
      <c r="ESH57" s="233"/>
      <c r="ESI57" s="233"/>
      <c r="ESJ57" s="233"/>
      <c r="ESK57" s="233"/>
      <c r="ESL57" s="233"/>
      <c r="ESM57" s="231"/>
      <c r="ESN57" s="231"/>
      <c r="ESO57" s="229"/>
      <c r="ESP57" s="230"/>
      <c r="ESQ57" s="231"/>
      <c r="ESR57" s="232"/>
      <c r="ESS57" s="233"/>
      <c r="EST57" s="233"/>
      <c r="ESU57" s="233"/>
      <c r="ESV57" s="233"/>
      <c r="ESW57" s="233"/>
      <c r="ESX57" s="233"/>
      <c r="ESY57" s="231"/>
      <c r="ESZ57" s="231"/>
      <c r="ETA57" s="229"/>
      <c r="ETB57" s="230"/>
      <c r="ETC57" s="231"/>
      <c r="ETD57" s="232"/>
      <c r="ETE57" s="233"/>
      <c r="ETF57" s="233"/>
      <c r="ETG57" s="233"/>
      <c r="ETH57" s="233"/>
      <c r="ETI57" s="233"/>
      <c r="ETJ57" s="233"/>
      <c r="ETK57" s="231"/>
      <c r="ETL57" s="231"/>
      <c r="ETM57" s="229"/>
      <c r="ETN57" s="230"/>
      <c r="ETO57" s="231"/>
      <c r="ETP57" s="232"/>
      <c r="ETQ57" s="233"/>
      <c r="ETR57" s="233"/>
      <c r="ETS57" s="233"/>
      <c r="ETT57" s="233"/>
      <c r="ETU57" s="233"/>
      <c r="ETV57" s="233"/>
      <c r="ETW57" s="231"/>
      <c r="ETX57" s="231"/>
      <c r="ETY57" s="229"/>
      <c r="ETZ57" s="230"/>
      <c r="EUA57" s="231"/>
      <c r="EUB57" s="232"/>
      <c r="EUC57" s="233"/>
      <c r="EUD57" s="233"/>
      <c r="EUE57" s="233"/>
      <c r="EUF57" s="233"/>
      <c r="EUG57" s="233"/>
      <c r="EUH57" s="233"/>
      <c r="EUI57" s="231"/>
      <c r="EUJ57" s="231"/>
      <c r="EUK57" s="229"/>
      <c r="EUL57" s="230"/>
      <c r="EUM57" s="231"/>
      <c r="EUN57" s="232"/>
      <c r="EUO57" s="233"/>
      <c r="EUP57" s="233"/>
      <c r="EUQ57" s="233"/>
      <c r="EUR57" s="233"/>
      <c r="EUS57" s="233"/>
      <c r="EUT57" s="233"/>
      <c r="EUU57" s="231"/>
      <c r="EUV57" s="231"/>
      <c r="EUW57" s="229"/>
      <c r="EUX57" s="230"/>
      <c r="EUY57" s="231"/>
      <c r="EUZ57" s="232"/>
      <c r="EVA57" s="233"/>
      <c r="EVB57" s="233"/>
      <c r="EVC57" s="233"/>
      <c r="EVD57" s="233"/>
      <c r="EVE57" s="233"/>
      <c r="EVF57" s="233"/>
      <c r="EVG57" s="231"/>
      <c r="EVH57" s="231"/>
      <c r="EVI57" s="229"/>
      <c r="EVJ57" s="230"/>
      <c r="EVK57" s="231"/>
      <c r="EVL57" s="232"/>
      <c r="EVM57" s="233"/>
      <c r="EVN57" s="233"/>
      <c r="EVO57" s="233"/>
      <c r="EVP57" s="233"/>
      <c r="EVQ57" s="233"/>
      <c r="EVR57" s="233"/>
      <c r="EVS57" s="231"/>
      <c r="EVT57" s="231"/>
      <c r="EVU57" s="229"/>
      <c r="EVV57" s="230"/>
      <c r="EVW57" s="231"/>
      <c r="EVX57" s="232"/>
      <c r="EVY57" s="233"/>
      <c r="EVZ57" s="233"/>
      <c r="EWA57" s="233"/>
      <c r="EWB57" s="233"/>
      <c r="EWC57" s="233"/>
      <c r="EWD57" s="233"/>
      <c r="EWE57" s="231"/>
      <c r="EWF57" s="231"/>
      <c r="EWG57" s="229"/>
      <c r="EWH57" s="230"/>
      <c r="EWI57" s="231"/>
      <c r="EWJ57" s="232"/>
      <c r="EWK57" s="233"/>
      <c r="EWL57" s="233"/>
      <c r="EWM57" s="233"/>
      <c r="EWN57" s="233"/>
      <c r="EWO57" s="233"/>
      <c r="EWP57" s="233"/>
      <c r="EWQ57" s="231"/>
      <c r="EWR57" s="231"/>
      <c r="EWS57" s="229"/>
      <c r="EWT57" s="230"/>
      <c r="EWU57" s="231"/>
      <c r="EWV57" s="232"/>
      <c r="EWW57" s="233"/>
      <c r="EWX57" s="233"/>
      <c r="EWY57" s="233"/>
      <c r="EWZ57" s="233"/>
      <c r="EXA57" s="233"/>
      <c r="EXB57" s="233"/>
      <c r="EXC57" s="231"/>
      <c r="EXD57" s="231"/>
      <c r="EXE57" s="229"/>
      <c r="EXF57" s="230"/>
      <c r="EXG57" s="231"/>
      <c r="EXH57" s="232"/>
      <c r="EXI57" s="233"/>
      <c r="EXJ57" s="233"/>
      <c r="EXK57" s="233"/>
      <c r="EXL57" s="233"/>
      <c r="EXM57" s="233"/>
      <c r="EXN57" s="233"/>
      <c r="EXO57" s="231"/>
      <c r="EXP57" s="231"/>
      <c r="EXQ57" s="229"/>
      <c r="EXR57" s="230"/>
      <c r="EXS57" s="231"/>
      <c r="EXT57" s="232"/>
      <c r="EXU57" s="233"/>
      <c r="EXV57" s="233"/>
      <c r="EXW57" s="233"/>
      <c r="EXX57" s="233"/>
      <c r="EXY57" s="233"/>
      <c r="EXZ57" s="233"/>
      <c r="EYA57" s="231"/>
      <c r="EYB57" s="231"/>
      <c r="EYC57" s="229"/>
      <c r="EYD57" s="230"/>
      <c r="EYE57" s="231"/>
      <c r="EYF57" s="232"/>
      <c r="EYG57" s="233"/>
      <c r="EYH57" s="233"/>
      <c r="EYI57" s="233"/>
      <c r="EYJ57" s="233"/>
      <c r="EYK57" s="233"/>
      <c r="EYL57" s="233"/>
      <c r="EYM57" s="231"/>
      <c r="EYN57" s="231"/>
      <c r="EYO57" s="229"/>
      <c r="EYP57" s="230"/>
      <c r="EYQ57" s="231"/>
      <c r="EYR57" s="232"/>
      <c r="EYS57" s="233"/>
      <c r="EYT57" s="233"/>
      <c r="EYU57" s="233"/>
      <c r="EYV57" s="233"/>
      <c r="EYW57" s="233"/>
      <c r="EYX57" s="233"/>
      <c r="EYY57" s="231"/>
      <c r="EYZ57" s="231"/>
      <c r="EZA57" s="229"/>
      <c r="EZB57" s="230"/>
      <c r="EZC57" s="231"/>
      <c r="EZD57" s="232"/>
      <c r="EZE57" s="233"/>
      <c r="EZF57" s="233"/>
      <c r="EZG57" s="233"/>
      <c r="EZH57" s="233"/>
      <c r="EZI57" s="233"/>
      <c r="EZJ57" s="233"/>
      <c r="EZK57" s="231"/>
      <c r="EZL57" s="231"/>
      <c r="EZM57" s="229"/>
      <c r="EZN57" s="230"/>
      <c r="EZO57" s="231"/>
      <c r="EZP57" s="232"/>
      <c r="EZQ57" s="233"/>
      <c r="EZR57" s="233"/>
      <c r="EZS57" s="233"/>
      <c r="EZT57" s="233"/>
      <c r="EZU57" s="233"/>
      <c r="EZV57" s="233"/>
      <c r="EZW57" s="231"/>
      <c r="EZX57" s="231"/>
      <c r="EZY57" s="229"/>
      <c r="EZZ57" s="230"/>
      <c r="FAA57" s="231"/>
      <c r="FAB57" s="232"/>
      <c r="FAC57" s="233"/>
      <c r="FAD57" s="233"/>
      <c r="FAE57" s="233"/>
      <c r="FAF57" s="233"/>
      <c r="FAG57" s="233"/>
      <c r="FAH57" s="233"/>
      <c r="FAI57" s="231"/>
      <c r="FAJ57" s="231"/>
      <c r="FAK57" s="229"/>
      <c r="FAL57" s="230"/>
      <c r="FAM57" s="231"/>
      <c r="FAN57" s="232"/>
      <c r="FAO57" s="233"/>
      <c r="FAP57" s="233"/>
      <c r="FAQ57" s="233"/>
      <c r="FAR57" s="233"/>
      <c r="FAS57" s="233"/>
      <c r="FAT57" s="233"/>
      <c r="FAU57" s="231"/>
      <c r="FAV57" s="231"/>
      <c r="FAW57" s="229"/>
      <c r="FAX57" s="230"/>
      <c r="FAY57" s="231"/>
      <c r="FAZ57" s="232"/>
      <c r="FBA57" s="233"/>
      <c r="FBB57" s="233"/>
      <c r="FBC57" s="233"/>
      <c r="FBD57" s="233"/>
      <c r="FBE57" s="233"/>
      <c r="FBF57" s="233"/>
      <c r="FBG57" s="231"/>
      <c r="FBH57" s="231"/>
      <c r="FBI57" s="229"/>
      <c r="FBJ57" s="230"/>
      <c r="FBK57" s="231"/>
      <c r="FBL57" s="232"/>
      <c r="FBM57" s="233"/>
      <c r="FBN57" s="233"/>
      <c r="FBO57" s="233"/>
      <c r="FBP57" s="233"/>
      <c r="FBQ57" s="233"/>
      <c r="FBR57" s="233"/>
      <c r="FBS57" s="231"/>
      <c r="FBT57" s="231"/>
      <c r="FBU57" s="229"/>
      <c r="FBV57" s="230"/>
      <c r="FBW57" s="231"/>
      <c r="FBX57" s="232"/>
      <c r="FBY57" s="233"/>
      <c r="FBZ57" s="233"/>
      <c r="FCA57" s="233"/>
      <c r="FCB57" s="233"/>
      <c r="FCC57" s="233"/>
      <c r="FCD57" s="233"/>
      <c r="FCE57" s="231"/>
      <c r="FCF57" s="231"/>
      <c r="FCG57" s="229"/>
      <c r="FCH57" s="230"/>
      <c r="FCI57" s="231"/>
      <c r="FCJ57" s="232"/>
      <c r="FCK57" s="233"/>
      <c r="FCL57" s="233"/>
      <c r="FCM57" s="233"/>
      <c r="FCN57" s="233"/>
      <c r="FCO57" s="233"/>
      <c r="FCP57" s="233"/>
      <c r="FCQ57" s="231"/>
      <c r="FCR57" s="231"/>
      <c r="FCS57" s="229"/>
      <c r="FCT57" s="230"/>
      <c r="FCU57" s="231"/>
      <c r="FCV57" s="232"/>
      <c r="FCW57" s="233"/>
      <c r="FCX57" s="233"/>
      <c r="FCY57" s="233"/>
      <c r="FCZ57" s="233"/>
      <c r="FDA57" s="233"/>
      <c r="FDB57" s="233"/>
      <c r="FDC57" s="231"/>
      <c r="FDD57" s="231"/>
      <c r="FDE57" s="229"/>
      <c r="FDF57" s="230"/>
      <c r="FDG57" s="231"/>
      <c r="FDH57" s="232"/>
      <c r="FDI57" s="233"/>
      <c r="FDJ57" s="233"/>
      <c r="FDK57" s="233"/>
      <c r="FDL57" s="233"/>
      <c r="FDM57" s="233"/>
      <c r="FDN57" s="233"/>
      <c r="FDO57" s="231"/>
      <c r="FDP57" s="231"/>
      <c r="FDQ57" s="229"/>
      <c r="FDR57" s="230"/>
      <c r="FDS57" s="231"/>
      <c r="FDT57" s="232"/>
      <c r="FDU57" s="233"/>
      <c r="FDV57" s="233"/>
      <c r="FDW57" s="233"/>
      <c r="FDX57" s="233"/>
      <c r="FDY57" s="233"/>
      <c r="FDZ57" s="233"/>
      <c r="FEA57" s="231"/>
      <c r="FEB57" s="231"/>
      <c r="FEC57" s="229"/>
      <c r="FED57" s="230"/>
      <c r="FEE57" s="231"/>
      <c r="FEF57" s="232"/>
      <c r="FEG57" s="233"/>
      <c r="FEH57" s="233"/>
      <c r="FEI57" s="233"/>
      <c r="FEJ57" s="233"/>
      <c r="FEK57" s="233"/>
      <c r="FEL57" s="233"/>
      <c r="FEM57" s="231"/>
      <c r="FEN57" s="231"/>
      <c r="FEO57" s="229"/>
      <c r="FEP57" s="230"/>
      <c r="FEQ57" s="231"/>
      <c r="FER57" s="232"/>
      <c r="FES57" s="233"/>
      <c r="FET57" s="233"/>
      <c r="FEU57" s="233"/>
      <c r="FEV57" s="233"/>
      <c r="FEW57" s="233"/>
      <c r="FEX57" s="233"/>
      <c r="FEY57" s="231"/>
      <c r="FEZ57" s="231"/>
      <c r="FFA57" s="229"/>
      <c r="FFB57" s="230"/>
      <c r="FFC57" s="231"/>
      <c r="FFD57" s="232"/>
      <c r="FFE57" s="233"/>
      <c r="FFF57" s="233"/>
      <c r="FFG57" s="233"/>
      <c r="FFH57" s="233"/>
      <c r="FFI57" s="233"/>
      <c r="FFJ57" s="233"/>
      <c r="FFK57" s="231"/>
      <c r="FFL57" s="231"/>
      <c r="FFM57" s="229"/>
      <c r="FFN57" s="230"/>
      <c r="FFO57" s="231"/>
      <c r="FFP57" s="232"/>
      <c r="FFQ57" s="233"/>
      <c r="FFR57" s="233"/>
      <c r="FFS57" s="233"/>
      <c r="FFT57" s="233"/>
      <c r="FFU57" s="233"/>
      <c r="FFV57" s="233"/>
      <c r="FFW57" s="231"/>
      <c r="FFX57" s="231"/>
      <c r="FFY57" s="229"/>
      <c r="FFZ57" s="230"/>
      <c r="FGA57" s="231"/>
      <c r="FGB57" s="232"/>
      <c r="FGC57" s="233"/>
      <c r="FGD57" s="233"/>
      <c r="FGE57" s="233"/>
      <c r="FGF57" s="233"/>
      <c r="FGG57" s="233"/>
      <c r="FGH57" s="233"/>
      <c r="FGI57" s="231"/>
      <c r="FGJ57" s="231"/>
      <c r="FGK57" s="229"/>
      <c r="FGL57" s="230"/>
      <c r="FGM57" s="231"/>
      <c r="FGN57" s="232"/>
      <c r="FGO57" s="233"/>
      <c r="FGP57" s="233"/>
      <c r="FGQ57" s="233"/>
      <c r="FGR57" s="233"/>
      <c r="FGS57" s="233"/>
      <c r="FGT57" s="233"/>
      <c r="FGU57" s="231"/>
      <c r="FGV57" s="231"/>
      <c r="FGW57" s="229"/>
      <c r="FGX57" s="230"/>
      <c r="FGY57" s="231"/>
      <c r="FGZ57" s="232"/>
      <c r="FHA57" s="233"/>
      <c r="FHB57" s="233"/>
      <c r="FHC57" s="233"/>
      <c r="FHD57" s="233"/>
      <c r="FHE57" s="233"/>
      <c r="FHF57" s="233"/>
      <c r="FHG57" s="231"/>
      <c r="FHH57" s="231"/>
      <c r="FHI57" s="229"/>
      <c r="FHJ57" s="230"/>
      <c r="FHK57" s="231"/>
      <c r="FHL57" s="232"/>
      <c r="FHM57" s="233"/>
      <c r="FHN57" s="233"/>
      <c r="FHO57" s="233"/>
      <c r="FHP57" s="233"/>
      <c r="FHQ57" s="233"/>
      <c r="FHR57" s="233"/>
      <c r="FHS57" s="231"/>
      <c r="FHT57" s="231"/>
      <c r="FHU57" s="229"/>
      <c r="FHV57" s="230"/>
      <c r="FHW57" s="231"/>
      <c r="FHX57" s="232"/>
      <c r="FHY57" s="233"/>
      <c r="FHZ57" s="233"/>
      <c r="FIA57" s="233"/>
      <c r="FIB57" s="233"/>
      <c r="FIC57" s="233"/>
      <c r="FID57" s="233"/>
      <c r="FIE57" s="231"/>
      <c r="FIF57" s="231"/>
      <c r="FIG57" s="229"/>
      <c r="FIH57" s="230"/>
      <c r="FII57" s="231"/>
      <c r="FIJ57" s="232"/>
      <c r="FIK57" s="233"/>
      <c r="FIL57" s="233"/>
      <c r="FIM57" s="233"/>
      <c r="FIN57" s="233"/>
      <c r="FIO57" s="233"/>
      <c r="FIP57" s="233"/>
      <c r="FIQ57" s="231"/>
      <c r="FIR57" s="231"/>
      <c r="FIS57" s="229"/>
      <c r="FIT57" s="230"/>
      <c r="FIU57" s="231"/>
      <c r="FIV57" s="232"/>
      <c r="FIW57" s="233"/>
      <c r="FIX57" s="233"/>
      <c r="FIY57" s="233"/>
      <c r="FIZ57" s="233"/>
      <c r="FJA57" s="233"/>
      <c r="FJB57" s="233"/>
      <c r="FJC57" s="231"/>
      <c r="FJD57" s="231"/>
      <c r="FJE57" s="229"/>
      <c r="FJF57" s="230"/>
      <c r="FJG57" s="231"/>
      <c r="FJH57" s="232"/>
      <c r="FJI57" s="233"/>
      <c r="FJJ57" s="233"/>
      <c r="FJK57" s="233"/>
      <c r="FJL57" s="233"/>
      <c r="FJM57" s="233"/>
      <c r="FJN57" s="233"/>
      <c r="FJO57" s="231"/>
      <c r="FJP57" s="231"/>
      <c r="FJQ57" s="229"/>
      <c r="FJR57" s="230"/>
      <c r="FJS57" s="231"/>
      <c r="FJT57" s="232"/>
      <c r="FJU57" s="233"/>
      <c r="FJV57" s="233"/>
      <c r="FJW57" s="233"/>
      <c r="FJX57" s="233"/>
      <c r="FJY57" s="233"/>
      <c r="FJZ57" s="233"/>
      <c r="FKA57" s="231"/>
      <c r="FKB57" s="231"/>
      <c r="FKC57" s="229"/>
      <c r="FKD57" s="230"/>
      <c r="FKE57" s="231"/>
      <c r="FKF57" s="232"/>
      <c r="FKG57" s="233"/>
      <c r="FKH57" s="233"/>
      <c r="FKI57" s="233"/>
      <c r="FKJ57" s="233"/>
      <c r="FKK57" s="233"/>
      <c r="FKL57" s="233"/>
      <c r="FKM57" s="231"/>
      <c r="FKN57" s="231"/>
      <c r="FKO57" s="229"/>
      <c r="FKP57" s="230"/>
      <c r="FKQ57" s="231"/>
      <c r="FKR57" s="232"/>
      <c r="FKS57" s="233"/>
      <c r="FKT57" s="233"/>
      <c r="FKU57" s="233"/>
      <c r="FKV57" s="233"/>
      <c r="FKW57" s="233"/>
      <c r="FKX57" s="233"/>
      <c r="FKY57" s="231"/>
      <c r="FKZ57" s="231"/>
      <c r="FLA57" s="229"/>
      <c r="FLB57" s="230"/>
      <c r="FLC57" s="231"/>
      <c r="FLD57" s="232"/>
      <c r="FLE57" s="233"/>
      <c r="FLF57" s="233"/>
      <c r="FLG57" s="233"/>
      <c r="FLH57" s="233"/>
      <c r="FLI57" s="233"/>
      <c r="FLJ57" s="233"/>
      <c r="FLK57" s="231"/>
      <c r="FLL57" s="231"/>
      <c r="FLM57" s="229"/>
      <c r="FLN57" s="230"/>
      <c r="FLO57" s="231"/>
      <c r="FLP57" s="232"/>
      <c r="FLQ57" s="233"/>
      <c r="FLR57" s="233"/>
      <c r="FLS57" s="233"/>
      <c r="FLT57" s="233"/>
      <c r="FLU57" s="233"/>
      <c r="FLV57" s="233"/>
      <c r="FLW57" s="231"/>
      <c r="FLX57" s="231"/>
      <c r="FLY57" s="229"/>
      <c r="FLZ57" s="230"/>
      <c r="FMA57" s="231"/>
      <c r="FMB57" s="232"/>
      <c r="FMC57" s="233"/>
      <c r="FMD57" s="233"/>
      <c r="FME57" s="233"/>
      <c r="FMF57" s="233"/>
      <c r="FMG57" s="233"/>
      <c r="FMH57" s="233"/>
      <c r="FMI57" s="231"/>
      <c r="FMJ57" s="231"/>
      <c r="FMK57" s="229"/>
      <c r="FML57" s="230"/>
      <c r="FMM57" s="231"/>
      <c r="FMN57" s="232"/>
      <c r="FMO57" s="233"/>
      <c r="FMP57" s="233"/>
      <c r="FMQ57" s="233"/>
      <c r="FMR57" s="233"/>
      <c r="FMS57" s="233"/>
      <c r="FMT57" s="233"/>
      <c r="FMU57" s="231"/>
      <c r="FMV57" s="231"/>
      <c r="FMW57" s="229"/>
      <c r="FMX57" s="230"/>
      <c r="FMY57" s="231"/>
      <c r="FMZ57" s="232"/>
      <c r="FNA57" s="233"/>
      <c r="FNB57" s="233"/>
      <c r="FNC57" s="233"/>
      <c r="FND57" s="233"/>
      <c r="FNE57" s="233"/>
      <c r="FNF57" s="233"/>
      <c r="FNG57" s="231"/>
      <c r="FNH57" s="231"/>
      <c r="FNI57" s="229"/>
      <c r="FNJ57" s="230"/>
      <c r="FNK57" s="231"/>
      <c r="FNL57" s="232"/>
      <c r="FNM57" s="233"/>
      <c r="FNN57" s="233"/>
      <c r="FNO57" s="233"/>
      <c r="FNP57" s="233"/>
      <c r="FNQ57" s="233"/>
      <c r="FNR57" s="233"/>
      <c r="FNS57" s="231"/>
      <c r="FNT57" s="231"/>
      <c r="FNU57" s="229"/>
      <c r="FNV57" s="230"/>
      <c r="FNW57" s="231"/>
      <c r="FNX57" s="232"/>
      <c r="FNY57" s="233"/>
      <c r="FNZ57" s="233"/>
      <c r="FOA57" s="233"/>
      <c r="FOB57" s="233"/>
      <c r="FOC57" s="233"/>
      <c r="FOD57" s="233"/>
      <c r="FOE57" s="231"/>
      <c r="FOF57" s="231"/>
      <c r="FOG57" s="229"/>
      <c r="FOH57" s="230"/>
      <c r="FOI57" s="231"/>
      <c r="FOJ57" s="232"/>
      <c r="FOK57" s="233"/>
      <c r="FOL57" s="233"/>
      <c r="FOM57" s="233"/>
      <c r="FON57" s="233"/>
      <c r="FOO57" s="233"/>
      <c r="FOP57" s="233"/>
      <c r="FOQ57" s="231"/>
      <c r="FOR57" s="231"/>
      <c r="FOS57" s="229"/>
      <c r="FOT57" s="230"/>
      <c r="FOU57" s="231"/>
      <c r="FOV57" s="232"/>
      <c r="FOW57" s="233"/>
      <c r="FOX57" s="233"/>
      <c r="FOY57" s="233"/>
      <c r="FOZ57" s="233"/>
      <c r="FPA57" s="233"/>
      <c r="FPB57" s="233"/>
      <c r="FPC57" s="231"/>
      <c r="FPD57" s="231"/>
      <c r="FPE57" s="229"/>
      <c r="FPF57" s="230"/>
      <c r="FPG57" s="231"/>
      <c r="FPH57" s="232"/>
      <c r="FPI57" s="233"/>
      <c r="FPJ57" s="233"/>
      <c r="FPK57" s="233"/>
      <c r="FPL57" s="233"/>
      <c r="FPM57" s="233"/>
      <c r="FPN57" s="233"/>
      <c r="FPO57" s="231"/>
      <c r="FPP57" s="231"/>
      <c r="FPQ57" s="229"/>
      <c r="FPR57" s="230"/>
      <c r="FPS57" s="231"/>
      <c r="FPT57" s="232"/>
      <c r="FPU57" s="233"/>
      <c r="FPV57" s="233"/>
      <c r="FPW57" s="233"/>
      <c r="FPX57" s="233"/>
      <c r="FPY57" s="233"/>
      <c r="FPZ57" s="233"/>
      <c r="FQA57" s="231"/>
      <c r="FQB57" s="231"/>
      <c r="FQC57" s="229"/>
      <c r="FQD57" s="230"/>
      <c r="FQE57" s="231"/>
      <c r="FQF57" s="232"/>
      <c r="FQG57" s="233"/>
      <c r="FQH57" s="233"/>
      <c r="FQI57" s="233"/>
      <c r="FQJ57" s="233"/>
      <c r="FQK57" s="233"/>
      <c r="FQL57" s="233"/>
      <c r="FQM57" s="231"/>
      <c r="FQN57" s="231"/>
      <c r="FQO57" s="229"/>
      <c r="FQP57" s="230"/>
      <c r="FQQ57" s="231"/>
      <c r="FQR57" s="232"/>
      <c r="FQS57" s="233"/>
      <c r="FQT57" s="233"/>
      <c r="FQU57" s="233"/>
      <c r="FQV57" s="233"/>
      <c r="FQW57" s="233"/>
      <c r="FQX57" s="233"/>
      <c r="FQY57" s="231"/>
      <c r="FQZ57" s="231"/>
      <c r="FRA57" s="229"/>
      <c r="FRB57" s="230"/>
      <c r="FRC57" s="231"/>
      <c r="FRD57" s="232"/>
      <c r="FRE57" s="233"/>
      <c r="FRF57" s="233"/>
      <c r="FRG57" s="233"/>
      <c r="FRH57" s="233"/>
      <c r="FRI57" s="233"/>
      <c r="FRJ57" s="233"/>
      <c r="FRK57" s="231"/>
      <c r="FRL57" s="231"/>
      <c r="FRM57" s="229"/>
      <c r="FRN57" s="230"/>
      <c r="FRO57" s="231"/>
      <c r="FRP57" s="232"/>
      <c r="FRQ57" s="233"/>
      <c r="FRR57" s="233"/>
      <c r="FRS57" s="233"/>
      <c r="FRT57" s="233"/>
      <c r="FRU57" s="233"/>
      <c r="FRV57" s="233"/>
      <c r="FRW57" s="231"/>
      <c r="FRX57" s="231"/>
      <c r="FRY57" s="229"/>
      <c r="FRZ57" s="230"/>
      <c r="FSA57" s="231"/>
      <c r="FSB57" s="232"/>
      <c r="FSC57" s="233"/>
      <c r="FSD57" s="233"/>
      <c r="FSE57" s="233"/>
      <c r="FSF57" s="233"/>
      <c r="FSG57" s="233"/>
      <c r="FSH57" s="233"/>
      <c r="FSI57" s="231"/>
      <c r="FSJ57" s="231"/>
      <c r="FSK57" s="229"/>
      <c r="FSL57" s="230"/>
      <c r="FSM57" s="231"/>
      <c r="FSN57" s="232"/>
      <c r="FSO57" s="233"/>
      <c r="FSP57" s="233"/>
      <c r="FSQ57" s="233"/>
      <c r="FSR57" s="233"/>
      <c r="FSS57" s="233"/>
      <c r="FST57" s="233"/>
      <c r="FSU57" s="231"/>
      <c r="FSV57" s="231"/>
      <c r="FSW57" s="229"/>
      <c r="FSX57" s="230"/>
      <c r="FSY57" s="231"/>
      <c r="FSZ57" s="232"/>
      <c r="FTA57" s="233"/>
      <c r="FTB57" s="233"/>
      <c r="FTC57" s="233"/>
      <c r="FTD57" s="233"/>
      <c r="FTE57" s="233"/>
      <c r="FTF57" s="233"/>
      <c r="FTG57" s="231"/>
      <c r="FTH57" s="231"/>
      <c r="FTI57" s="229"/>
      <c r="FTJ57" s="230"/>
      <c r="FTK57" s="231"/>
      <c r="FTL57" s="232"/>
      <c r="FTM57" s="233"/>
      <c r="FTN57" s="233"/>
      <c r="FTO57" s="233"/>
      <c r="FTP57" s="233"/>
      <c r="FTQ57" s="233"/>
      <c r="FTR57" s="233"/>
      <c r="FTS57" s="231"/>
      <c r="FTT57" s="231"/>
      <c r="FTU57" s="229"/>
      <c r="FTV57" s="230"/>
      <c r="FTW57" s="231"/>
      <c r="FTX57" s="232"/>
      <c r="FTY57" s="233"/>
      <c r="FTZ57" s="233"/>
      <c r="FUA57" s="233"/>
      <c r="FUB57" s="233"/>
      <c r="FUC57" s="233"/>
      <c r="FUD57" s="233"/>
      <c r="FUE57" s="231"/>
      <c r="FUF57" s="231"/>
      <c r="FUG57" s="229"/>
      <c r="FUH57" s="230"/>
      <c r="FUI57" s="231"/>
      <c r="FUJ57" s="232"/>
      <c r="FUK57" s="233"/>
      <c r="FUL57" s="233"/>
      <c r="FUM57" s="233"/>
      <c r="FUN57" s="233"/>
      <c r="FUO57" s="233"/>
      <c r="FUP57" s="233"/>
      <c r="FUQ57" s="231"/>
      <c r="FUR57" s="231"/>
      <c r="FUS57" s="229"/>
      <c r="FUT57" s="230"/>
      <c r="FUU57" s="231"/>
      <c r="FUV57" s="232"/>
      <c r="FUW57" s="233"/>
      <c r="FUX57" s="233"/>
      <c r="FUY57" s="233"/>
      <c r="FUZ57" s="233"/>
      <c r="FVA57" s="233"/>
      <c r="FVB57" s="233"/>
      <c r="FVC57" s="231"/>
      <c r="FVD57" s="231"/>
      <c r="FVE57" s="229"/>
      <c r="FVF57" s="230"/>
      <c r="FVG57" s="231"/>
      <c r="FVH57" s="232"/>
      <c r="FVI57" s="233"/>
      <c r="FVJ57" s="233"/>
      <c r="FVK57" s="233"/>
      <c r="FVL57" s="233"/>
      <c r="FVM57" s="233"/>
      <c r="FVN57" s="233"/>
      <c r="FVO57" s="231"/>
      <c r="FVP57" s="231"/>
      <c r="FVQ57" s="229"/>
      <c r="FVR57" s="230"/>
      <c r="FVS57" s="231"/>
      <c r="FVT57" s="232"/>
      <c r="FVU57" s="233"/>
      <c r="FVV57" s="233"/>
      <c r="FVW57" s="233"/>
      <c r="FVX57" s="233"/>
      <c r="FVY57" s="233"/>
      <c r="FVZ57" s="233"/>
      <c r="FWA57" s="231"/>
      <c r="FWB57" s="231"/>
      <c r="FWC57" s="229"/>
      <c r="FWD57" s="230"/>
      <c r="FWE57" s="231"/>
      <c r="FWF57" s="232"/>
      <c r="FWG57" s="233"/>
      <c r="FWH57" s="233"/>
      <c r="FWI57" s="233"/>
      <c r="FWJ57" s="233"/>
      <c r="FWK57" s="233"/>
      <c r="FWL57" s="233"/>
      <c r="FWM57" s="231"/>
      <c r="FWN57" s="231"/>
      <c r="FWO57" s="229"/>
      <c r="FWP57" s="230"/>
      <c r="FWQ57" s="231"/>
      <c r="FWR57" s="232"/>
      <c r="FWS57" s="233"/>
      <c r="FWT57" s="233"/>
      <c r="FWU57" s="233"/>
      <c r="FWV57" s="233"/>
      <c r="FWW57" s="233"/>
      <c r="FWX57" s="233"/>
      <c r="FWY57" s="231"/>
      <c r="FWZ57" s="231"/>
      <c r="FXA57" s="229"/>
      <c r="FXB57" s="230"/>
      <c r="FXC57" s="231"/>
      <c r="FXD57" s="232"/>
      <c r="FXE57" s="233"/>
      <c r="FXF57" s="233"/>
      <c r="FXG57" s="233"/>
      <c r="FXH57" s="233"/>
      <c r="FXI57" s="233"/>
      <c r="FXJ57" s="233"/>
      <c r="FXK57" s="231"/>
      <c r="FXL57" s="231"/>
      <c r="FXM57" s="229"/>
      <c r="FXN57" s="230"/>
      <c r="FXO57" s="231"/>
      <c r="FXP57" s="232"/>
      <c r="FXQ57" s="233"/>
      <c r="FXR57" s="233"/>
      <c r="FXS57" s="233"/>
      <c r="FXT57" s="233"/>
      <c r="FXU57" s="233"/>
      <c r="FXV57" s="233"/>
      <c r="FXW57" s="231"/>
      <c r="FXX57" s="231"/>
      <c r="FXY57" s="229"/>
      <c r="FXZ57" s="230"/>
      <c r="FYA57" s="231"/>
      <c r="FYB57" s="232"/>
      <c r="FYC57" s="233"/>
      <c r="FYD57" s="233"/>
      <c r="FYE57" s="233"/>
      <c r="FYF57" s="233"/>
      <c r="FYG57" s="233"/>
      <c r="FYH57" s="233"/>
      <c r="FYI57" s="231"/>
      <c r="FYJ57" s="231"/>
      <c r="FYK57" s="229"/>
      <c r="FYL57" s="230"/>
      <c r="FYM57" s="231"/>
      <c r="FYN57" s="232"/>
      <c r="FYO57" s="233"/>
      <c r="FYP57" s="233"/>
      <c r="FYQ57" s="233"/>
      <c r="FYR57" s="233"/>
      <c r="FYS57" s="233"/>
      <c r="FYT57" s="233"/>
      <c r="FYU57" s="231"/>
      <c r="FYV57" s="231"/>
      <c r="FYW57" s="229"/>
      <c r="FYX57" s="230"/>
      <c r="FYY57" s="231"/>
      <c r="FYZ57" s="232"/>
      <c r="FZA57" s="233"/>
      <c r="FZB57" s="233"/>
      <c r="FZC57" s="233"/>
      <c r="FZD57" s="233"/>
      <c r="FZE57" s="233"/>
      <c r="FZF57" s="233"/>
      <c r="FZG57" s="231"/>
      <c r="FZH57" s="231"/>
      <c r="FZI57" s="229"/>
      <c r="FZJ57" s="230"/>
      <c r="FZK57" s="231"/>
      <c r="FZL57" s="232"/>
      <c r="FZM57" s="233"/>
      <c r="FZN57" s="233"/>
      <c r="FZO57" s="233"/>
      <c r="FZP57" s="233"/>
      <c r="FZQ57" s="233"/>
      <c r="FZR57" s="233"/>
      <c r="FZS57" s="231"/>
      <c r="FZT57" s="231"/>
      <c r="FZU57" s="229"/>
      <c r="FZV57" s="230"/>
      <c r="FZW57" s="231"/>
      <c r="FZX57" s="232"/>
      <c r="FZY57" s="233"/>
      <c r="FZZ57" s="233"/>
      <c r="GAA57" s="233"/>
      <c r="GAB57" s="233"/>
      <c r="GAC57" s="233"/>
      <c r="GAD57" s="233"/>
      <c r="GAE57" s="231"/>
      <c r="GAF57" s="231"/>
      <c r="GAG57" s="229"/>
      <c r="GAH57" s="230"/>
      <c r="GAI57" s="231"/>
      <c r="GAJ57" s="232"/>
      <c r="GAK57" s="233"/>
      <c r="GAL57" s="233"/>
      <c r="GAM57" s="233"/>
      <c r="GAN57" s="233"/>
      <c r="GAO57" s="233"/>
      <c r="GAP57" s="233"/>
      <c r="GAQ57" s="231"/>
      <c r="GAR57" s="231"/>
      <c r="GAS57" s="229"/>
      <c r="GAT57" s="230"/>
      <c r="GAU57" s="231"/>
      <c r="GAV57" s="232"/>
      <c r="GAW57" s="233"/>
      <c r="GAX57" s="233"/>
      <c r="GAY57" s="233"/>
      <c r="GAZ57" s="233"/>
      <c r="GBA57" s="233"/>
      <c r="GBB57" s="233"/>
      <c r="GBC57" s="231"/>
      <c r="GBD57" s="231"/>
      <c r="GBE57" s="229"/>
      <c r="GBF57" s="230"/>
      <c r="GBG57" s="231"/>
      <c r="GBH57" s="232"/>
      <c r="GBI57" s="233"/>
      <c r="GBJ57" s="233"/>
      <c r="GBK57" s="233"/>
      <c r="GBL57" s="233"/>
      <c r="GBM57" s="233"/>
      <c r="GBN57" s="233"/>
      <c r="GBO57" s="231"/>
      <c r="GBP57" s="231"/>
      <c r="GBQ57" s="229"/>
      <c r="GBR57" s="230"/>
      <c r="GBS57" s="231"/>
      <c r="GBT57" s="232"/>
      <c r="GBU57" s="233"/>
      <c r="GBV57" s="233"/>
      <c r="GBW57" s="233"/>
      <c r="GBX57" s="233"/>
      <c r="GBY57" s="233"/>
      <c r="GBZ57" s="233"/>
      <c r="GCA57" s="231"/>
      <c r="GCB57" s="231"/>
      <c r="GCC57" s="229"/>
      <c r="GCD57" s="230"/>
      <c r="GCE57" s="231"/>
      <c r="GCF57" s="232"/>
      <c r="GCG57" s="233"/>
      <c r="GCH57" s="233"/>
      <c r="GCI57" s="233"/>
      <c r="GCJ57" s="233"/>
      <c r="GCK57" s="233"/>
      <c r="GCL57" s="233"/>
      <c r="GCM57" s="231"/>
      <c r="GCN57" s="231"/>
      <c r="GCO57" s="229"/>
      <c r="GCP57" s="230"/>
      <c r="GCQ57" s="231"/>
      <c r="GCR57" s="232"/>
      <c r="GCS57" s="233"/>
      <c r="GCT57" s="233"/>
      <c r="GCU57" s="233"/>
      <c r="GCV57" s="233"/>
      <c r="GCW57" s="233"/>
      <c r="GCX57" s="233"/>
      <c r="GCY57" s="231"/>
      <c r="GCZ57" s="231"/>
      <c r="GDA57" s="229"/>
      <c r="GDB57" s="230"/>
      <c r="GDC57" s="231"/>
      <c r="GDD57" s="232"/>
      <c r="GDE57" s="233"/>
      <c r="GDF57" s="233"/>
      <c r="GDG57" s="233"/>
      <c r="GDH57" s="233"/>
      <c r="GDI57" s="233"/>
      <c r="GDJ57" s="233"/>
      <c r="GDK57" s="231"/>
      <c r="GDL57" s="231"/>
      <c r="GDM57" s="229"/>
      <c r="GDN57" s="230"/>
      <c r="GDO57" s="231"/>
      <c r="GDP57" s="232"/>
      <c r="GDQ57" s="233"/>
      <c r="GDR57" s="233"/>
      <c r="GDS57" s="233"/>
      <c r="GDT57" s="233"/>
      <c r="GDU57" s="233"/>
      <c r="GDV57" s="233"/>
      <c r="GDW57" s="231"/>
      <c r="GDX57" s="231"/>
      <c r="GDY57" s="229"/>
      <c r="GDZ57" s="230"/>
      <c r="GEA57" s="231"/>
      <c r="GEB57" s="232"/>
      <c r="GEC57" s="233"/>
      <c r="GED57" s="233"/>
      <c r="GEE57" s="233"/>
      <c r="GEF57" s="233"/>
      <c r="GEG57" s="233"/>
      <c r="GEH57" s="233"/>
      <c r="GEI57" s="231"/>
      <c r="GEJ57" s="231"/>
      <c r="GEK57" s="229"/>
      <c r="GEL57" s="230"/>
      <c r="GEM57" s="231"/>
      <c r="GEN57" s="232"/>
      <c r="GEO57" s="233"/>
      <c r="GEP57" s="233"/>
      <c r="GEQ57" s="233"/>
      <c r="GER57" s="233"/>
      <c r="GES57" s="233"/>
      <c r="GET57" s="233"/>
      <c r="GEU57" s="231"/>
      <c r="GEV57" s="231"/>
      <c r="GEW57" s="229"/>
      <c r="GEX57" s="230"/>
      <c r="GEY57" s="231"/>
      <c r="GEZ57" s="232"/>
      <c r="GFA57" s="233"/>
      <c r="GFB57" s="233"/>
      <c r="GFC57" s="233"/>
      <c r="GFD57" s="233"/>
      <c r="GFE57" s="233"/>
      <c r="GFF57" s="233"/>
      <c r="GFG57" s="231"/>
      <c r="GFH57" s="231"/>
      <c r="GFI57" s="229"/>
      <c r="GFJ57" s="230"/>
      <c r="GFK57" s="231"/>
      <c r="GFL57" s="232"/>
      <c r="GFM57" s="233"/>
      <c r="GFN57" s="233"/>
      <c r="GFO57" s="233"/>
      <c r="GFP57" s="233"/>
      <c r="GFQ57" s="233"/>
      <c r="GFR57" s="233"/>
      <c r="GFS57" s="231"/>
      <c r="GFT57" s="231"/>
      <c r="GFU57" s="229"/>
      <c r="GFV57" s="230"/>
      <c r="GFW57" s="231"/>
      <c r="GFX57" s="232"/>
      <c r="GFY57" s="233"/>
      <c r="GFZ57" s="233"/>
      <c r="GGA57" s="233"/>
      <c r="GGB57" s="233"/>
      <c r="GGC57" s="233"/>
      <c r="GGD57" s="233"/>
      <c r="GGE57" s="231"/>
      <c r="GGF57" s="231"/>
      <c r="GGG57" s="229"/>
      <c r="GGH57" s="230"/>
      <c r="GGI57" s="231"/>
      <c r="GGJ57" s="232"/>
      <c r="GGK57" s="233"/>
      <c r="GGL57" s="233"/>
      <c r="GGM57" s="233"/>
      <c r="GGN57" s="233"/>
      <c r="GGO57" s="233"/>
      <c r="GGP57" s="233"/>
      <c r="GGQ57" s="231"/>
      <c r="GGR57" s="231"/>
      <c r="GGS57" s="229"/>
      <c r="GGT57" s="230"/>
      <c r="GGU57" s="231"/>
      <c r="GGV57" s="232"/>
      <c r="GGW57" s="233"/>
      <c r="GGX57" s="233"/>
      <c r="GGY57" s="233"/>
      <c r="GGZ57" s="233"/>
      <c r="GHA57" s="233"/>
      <c r="GHB57" s="233"/>
      <c r="GHC57" s="231"/>
      <c r="GHD57" s="231"/>
      <c r="GHE57" s="229"/>
      <c r="GHF57" s="230"/>
      <c r="GHG57" s="231"/>
      <c r="GHH57" s="232"/>
      <c r="GHI57" s="233"/>
      <c r="GHJ57" s="233"/>
      <c r="GHK57" s="233"/>
      <c r="GHL57" s="233"/>
      <c r="GHM57" s="233"/>
      <c r="GHN57" s="233"/>
      <c r="GHO57" s="231"/>
      <c r="GHP57" s="231"/>
      <c r="GHQ57" s="229"/>
      <c r="GHR57" s="230"/>
      <c r="GHS57" s="231"/>
      <c r="GHT57" s="232"/>
      <c r="GHU57" s="233"/>
      <c r="GHV57" s="233"/>
      <c r="GHW57" s="233"/>
      <c r="GHX57" s="233"/>
      <c r="GHY57" s="233"/>
      <c r="GHZ57" s="233"/>
      <c r="GIA57" s="231"/>
      <c r="GIB57" s="231"/>
      <c r="GIC57" s="229"/>
      <c r="GID57" s="230"/>
      <c r="GIE57" s="231"/>
      <c r="GIF57" s="232"/>
      <c r="GIG57" s="233"/>
      <c r="GIH57" s="233"/>
      <c r="GII57" s="233"/>
      <c r="GIJ57" s="233"/>
      <c r="GIK57" s="233"/>
      <c r="GIL57" s="233"/>
      <c r="GIM57" s="231"/>
      <c r="GIN57" s="231"/>
      <c r="GIO57" s="229"/>
      <c r="GIP57" s="230"/>
      <c r="GIQ57" s="231"/>
      <c r="GIR57" s="232"/>
      <c r="GIS57" s="233"/>
      <c r="GIT57" s="233"/>
      <c r="GIU57" s="233"/>
      <c r="GIV57" s="233"/>
      <c r="GIW57" s="233"/>
      <c r="GIX57" s="233"/>
      <c r="GIY57" s="231"/>
      <c r="GIZ57" s="231"/>
      <c r="GJA57" s="229"/>
      <c r="GJB57" s="230"/>
      <c r="GJC57" s="231"/>
      <c r="GJD57" s="232"/>
      <c r="GJE57" s="233"/>
      <c r="GJF57" s="233"/>
      <c r="GJG57" s="233"/>
      <c r="GJH57" s="233"/>
      <c r="GJI57" s="233"/>
      <c r="GJJ57" s="233"/>
      <c r="GJK57" s="231"/>
      <c r="GJL57" s="231"/>
      <c r="GJM57" s="229"/>
      <c r="GJN57" s="230"/>
      <c r="GJO57" s="231"/>
      <c r="GJP57" s="232"/>
      <c r="GJQ57" s="233"/>
      <c r="GJR57" s="233"/>
      <c r="GJS57" s="233"/>
      <c r="GJT57" s="233"/>
      <c r="GJU57" s="233"/>
      <c r="GJV57" s="233"/>
      <c r="GJW57" s="231"/>
      <c r="GJX57" s="231"/>
      <c r="GJY57" s="229"/>
      <c r="GJZ57" s="230"/>
      <c r="GKA57" s="231"/>
      <c r="GKB57" s="232"/>
      <c r="GKC57" s="233"/>
      <c r="GKD57" s="233"/>
      <c r="GKE57" s="233"/>
      <c r="GKF57" s="233"/>
      <c r="GKG57" s="233"/>
      <c r="GKH57" s="233"/>
      <c r="GKI57" s="231"/>
      <c r="GKJ57" s="231"/>
      <c r="GKK57" s="229"/>
      <c r="GKL57" s="230"/>
      <c r="GKM57" s="231"/>
      <c r="GKN57" s="232"/>
      <c r="GKO57" s="233"/>
      <c r="GKP57" s="233"/>
      <c r="GKQ57" s="233"/>
      <c r="GKR57" s="233"/>
      <c r="GKS57" s="233"/>
      <c r="GKT57" s="233"/>
      <c r="GKU57" s="231"/>
      <c r="GKV57" s="231"/>
      <c r="GKW57" s="229"/>
      <c r="GKX57" s="230"/>
      <c r="GKY57" s="231"/>
      <c r="GKZ57" s="232"/>
      <c r="GLA57" s="233"/>
      <c r="GLB57" s="233"/>
      <c r="GLC57" s="233"/>
      <c r="GLD57" s="233"/>
      <c r="GLE57" s="233"/>
      <c r="GLF57" s="233"/>
      <c r="GLG57" s="231"/>
      <c r="GLH57" s="231"/>
      <c r="GLI57" s="229"/>
      <c r="GLJ57" s="230"/>
      <c r="GLK57" s="231"/>
      <c r="GLL57" s="232"/>
      <c r="GLM57" s="233"/>
      <c r="GLN57" s="233"/>
      <c r="GLO57" s="233"/>
      <c r="GLP57" s="233"/>
      <c r="GLQ57" s="233"/>
      <c r="GLR57" s="233"/>
      <c r="GLS57" s="231"/>
      <c r="GLT57" s="231"/>
      <c r="GLU57" s="229"/>
      <c r="GLV57" s="230"/>
      <c r="GLW57" s="231"/>
      <c r="GLX57" s="232"/>
      <c r="GLY57" s="233"/>
      <c r="GLZ57" s="233"/>
      <c r="GMA57" s="233"/>
      <c r="GMB57" s="233"/>
      <c r="GMC57" s="233"/>
      <c r="GMD57" s="233"/>
      <c r="GME57" s="231"/>
      <c r="GMF57" s="231"/>
      <c r="GMG57" s="229"/>
      <c r="GMH57" s="230"/>
      <c r="GMI57" s="231"/>
      <c r="GMJ57" s="232"/>
      <c r="GMK57" s="233"/>
      <c r="GML57" s="233"/>
      <c r="GMM57" s="233"/>
      <c r="GMN57" s="233"/>
      <c r="GMO57" s="233"/>
      <c r="GMP57" s="233"/>
      <c r="GMQ57" s="231"/>
      <c r="GMR57" s="231"/>
      <c r="GMS57" s="229"/>
      <c r="GMT57" s="230"/>
      <c r="GMU57" s="231"/>
      <c r="GMV57" s="232"/>
      <c r="GMW57" s="233"/>
      <c r="GMX57" s="233"/>
      <c r="GMY57" s="233"/>
      <c r="GMZ57" s="233"/>
      <c r="GNA57" s="233"/>
      <c r="GNB57" s="233"/>
      <c r="GNC57" s="231"/>
      <c r="GND57" s="231"/>
      <c r="GNE57" s="229"/>
      <c r="GNF57" s="230"/>
      <c r="GNG57" s="231"/>
      <c r="GNH57" s="232"/>
      <c r="GNI57" s="233"/>
      <c r="GNJ57" s="233"/>
      <c r="GNK57" s="233"/>
      <c r="GNL57" s="233"/>
      <c r="GNM57" s="233"/>
      <c r="GNN57" s="233"/>
      <c r="GNO57" s="231"/>
      <c r="GNP57" s="231"/>
      <c r="GNQ57" s="229"/>
      <c r="GNR57" s="230"/>
      <c r="GNS57" s="231"/>
      <c r="GNT57" s="232"/>
      <c r="GNU57" s="233"/>
      <c r="GNV57" s="233"/>
      <c r="GNW57" s="233"/>
      <c r="GNX57" s="233"/>
      <c r="GNY57" s="233"/>
      <c r="GNZ57" s="233"/>
      <c r="GOA57" s="231"/>
      <c r="GOB57" s="231"/>
      <c r="GOC57" s="229"/>
      <c r="GOD57" s="230"/>
      <c r="GOE57" s="231"/>
      <c r="GOF57" s="232"/>
      <c r="GOG57" s="233"/>
      <c r="GOH57" s="233"/>
      <c r="GOI57" s="233"/>
      <c r="GOJ57" s="233"/>
      <c r="GOK57" s="233"/>
      <c r="GOL57" s="233"/>
      <c r="GOM57" s="231"/>
      <c r="GON57" s="231"/>
      <c r="GOO57" s="229"/>
      <c r="GOP57" s="230"/>
      <c r="GOQ57" s="231"/>
      <c r="GOR57" s="232"/>
      <c r="GOS57" s="233"/>
      <c r="GOT57" s="233"/>
      <c r="GOU57" s="233"/>
      <c r="GOV57" s="233"/>
      <c r="GOW57" s="233"/>
      <c r="GOX57" s="233"/>
      <c r="GOY57" s="231"/>
      <c r="GOZ57" s="231"/>
      <c r="GPA57" s="229"/>
      <c r="GPB57" s="230"/>
      <c r="GPC57" s="231"/>
      <c r="GPD57" s="232"/>
      <c r="GPE57" s="233"/>
      <c r="GPF57" s="233"/>
      <c r="GPG57" s="233"/>
      <c r="GPH57" s="233"/>
      <c r="GPI57" s="233"/>
      <c r="GPJ57" s="233"/>
      <c r="GPK57" s="231"/>
      <c r="GPL57" s="231"/>
      <c r="GPM57" s="229"/>
      <c r="GPN57" s="230"/>
      <c r="GPO57" s="231"/>
      <c r="GPP57" s="232"/>
      <c r="GPQ57" s="233"/>
      <c r="GPR57" s="233"/>
      <c r="GPS57" s="233"/>
      <c r="GPT57" s="233"/>
      <c r="GPU57" s="233"/>
      <c r="GPV57" s="233"/>
      <c r="GPW57" s="231"/>
      <c r="GPX57" s="231"/>
      <c r="GPY57" s="229"/>
      <c r="GPZ57" s="230"/>
      <c r="GQA57" s="231"/>
      <c r="GQB57" s="232"/>
      <c r="GQC57" s="233"/>
      <c r="GQD57" s="233"/>
      <c r="GQE57" s="233"/>
      <c r="GQF57" s="233"/>
      <c r="GQG57" s="233"/>
      <c r="GQH57" s="233"/>
      <c r="GQI57" s="231"/>
      <c r="GQJ57" s="231"/>
      <c r="GQK57" s="229"/>
      <c r="GQL57" s="230"/>
      <c r="GQM57" s="231"/>
      <c r="GQN57" s="232"/>
      <c r="GQO57" s="233"/>
      <c r="GQP57" s="233"/>
      <c r="GQQ57" s="233"/>
      <c r="GQR57" s="233"/>
      <c r="GQS57" s="233"/>
      <c r="GQT57" s="233"/>
      <c r="GQU57" s="231"/>
      <c r="GQV57" s="231"/>
      <c r="GQW57" s="229"/>
      <c r="GQX57" s="230"/>
      <c r="GQY57" s="231"/>
      <c r="GQZ57" s="232"/>
      <c r="GRA57" s="233"/>
      <c r="GRB57" s="233"/>
      <c r="GRC57" s="233"/>
      <c r="GRD57" s="233"/>
      <c r="GRE57" s="233"/>
      <c r="GRF57" s="233"/>
      <c r="GRG57" s="231"/>
      <c r="GRH57" s="231"/>
      <c r="GRI57" s="229"/>
      <c r="GRJ57" s="230"/>
      <c r="GRK57" s="231"/>
      <c r="GRL57" s="232"/>
      <c r="GRM57" s="233"/>
      <c r="GRN57" s="233"/>
      <c r="GRO57" s="233"/>
      <c r="GRP57" s="233"/>
      <c r="GRQ57" s="233"/>
      <c r="GRR57" s="233"/>
      <c r="GRS57" s="231"/>
      <c r="GRT57" s="231"/>
      <c r="GRU57" s="229"/>
      <c r="GRV57" s="230"/>
      <c r="GRW57" s="231"/>
      <c r="GRX57" s="232"/>
      <c r="GRY57" s="233"/>
      <c r="GRZ57" s="233"/>
      <c r="GSA57" s="233"/>
      <c r="GSB57" s="233"/>
      <c r="GSC57" s="233"/>
      <c r="GSD57" s="233"/>
      <c r="GSE57" s="231"/>
      <c r="GSF57" s="231"/>
      <c r="GSG57" s="229"/>
      <c r="GSH57" s="230"/>
      <c r="GSI57" s="231"/>
      <c r="GSJ57" s="232"/>
      <c r="GSK57" s="233"/>
      <c r="GSL57" s="233"/>
      <c r="GSM57" s="233"/>
      <c r="GSN57" s="233"/>
      <c r="GSO57" s="233"/>
      <c r="GSP57" s="233"/>
      <c r="GSQ57" s="231"/>
      <c r="GSR57" s="231"/>
      <c r="GSS57" s="229"/>
      <c r="GST57" s="230"/>
      <c r="GSU57" s="231"/>
      <c r="GSV57" s="232"/>
      <c r="GSW57" s="233"/>
      <c r="GSX57" s="233"/>
      <c r="GSY57" s="233"/>
      <c r="GSZ57" s="233"/>
      <c r="GTA57" s="233"/>
      <c r="GTB57" s="233"/>
      <c r="GTC57" s="231"/>
      <c r="GTD57" s="231"/>
      <c r="GTE57" s="229"/>
      <c r="GTF57" s="230"/>
      <c r="GTG57" s="231"/>
      <c r="GTH57" s="232"/>
      <c r="GTI57" s="233"/>
      <c r="GTJ57" s="233"/>
      <c r="GTK57" s="233"/>
      <c r="GTL57" s="233"/>
      <c r="GTM57" s="233"/>
      <c r="GTN57" s="233"/>
      <c r="GTO57" s="231"/>
      <c r="GTP57" s="231"/>
      <c r="GTQ57" s="229"/>
      <c r="GTR57" s="230"/>
      <c r="GTS57" s="231"/>
      <c r="GTT57" s="232"/>
      <c r="GTU57" s="233"/>
      <c r="GTV57" s="233"/>
      <c r="GTW57" s="233"/>
      <c r="GTX57" s="233"/>
      <c r="GTY57" s="233"/>
      <c r="GTZ57" s="233"/>
      <c r="GUA57" s="231"/>
      <c r="GUB57" s="231"/>
      <c r="GUC57" s="229"/>
      <c r="GUD57" s="230"/>
      <c r="GUE57" s="231"/>
      <c r="GUF57" s="232"/>
      <c r="GUG57" s="233"/>
      <c r="GUH57" s="233"/>
      <c r="GUI57" s="233"/>
      <c r="GUJ57" s="233"/>
      <c r="GUK57" s="233"/>
      <c r="GUL57" s="233"/>
      <c r="GUM57" s="231"/>
      <c r="GUN57" s="231"/>
      <c r="GUO57" s="229"/>
      <c r="GUP57" s="230"/>
      <c r="GUQ57" s="231"/>
      <c r="GUR57" s="232"/>
      <c r="GUS57" s="233"/>
      <c r="GUT57" s="233"/>
      <c r="GUU57" s="233"/>
      <c r="GUV57" s="233"/>
      <c r="GUW57" s="233"/>
      <c r="GUX57" s="233"/>
      <c r="GUY57" s="231"/>
      <c r="GUZ57" s="231"/>
      <c r="GVA57" s="229"/>
      <c r="GVB57" s="230"/>
      <c r="GVC57" s="231"/>
      <c r="GVD57" s="232"/>
      <c r="GVE57" s="233"/>
      <c r="GVF57" s="233"/>
      <c r="GVG57" s="233"/>
      <c r="GVH57" s="233"/>
      <c r="GVI57" s="233"/>
      <c r="GVJ57" s="233"/>
      <c r="GVK57" s="231"/>
      <c r="GVL57" s="231"/>
      <c r="GVM57" s="229"/>
      <c r="GVN57" s="230"/>
      <c r="GVO57" s="231"/>
      <c r="GVP57" s="232"/>
      <c r="GVQ57" s="233"/>
      <c r="GVR57" s="233"/>
      <c r="GVS57" s="233"/>
      <c r="GVT57" s="233"/>
      <c r="GVU57" s="233"/>
      <c r="GVV57" s="233"/>
      <c r="GVW57" s="231"/>
      <c r="GVX57" s="231"/>
      <c r="GVY57" s="229"/>
      <c r="GVZ57" s="230"/>
      <c r="GWA57" s="231"/>
      <c r="GWB57" s="232"/>
      <c r="GWC57" s="233"/>
      <c r="GWD57" s="233"/>
      <c r="GWE57" s="233"/>
      <c r="GWF57" s="233"/>
      <c r="GWG57" s="233"/>
      <c r="GWH57" s="233"/>
      <c r="GWI57" s="231"/>
      <c r="GWJ57" s="231"/>
      <c r="GWK57" s="229"/>
      <c r="GWL57" s="230"/>
      <c r="GWM57" s="231"/>
      <c r="GWN57" s="232"/>
      <c r="GWO57" s="233"/>
      <c r="GWP57" s="233"/>
      <c r="GWQ57" s="233"/>
      <c r="GWR57" s="233"/>
      <c r="GWS57" s="233"/>
      <c r="GWT57" s="233"/>
      <c r="GWU57" s="231"/>
      <c r="GWV57" s="231"/>
      <c r="GWW57" s="229"/>
      <c r="GWX57" s="230"/>
      <c r="GWY57" s="231"/>
      <c r="GWZ57" s="232"/>
      <c r="GXA57" s="233"/>
      <c r="GXB57" s="233"/>
      <c r="GXC57" s="233"/>
      <c r="GXD57" s="233"/>
      <c r="GXE57" s="233"/>
      <c r="GXF57" s="233"/>
      <c r="GXG57" s="231"/>
      <c r="GXH57" s="231"/>
      <c r="GXI57" s="229"/>
      <c r="GXJ57" s="230"/>
      <c r="GXK57" s="231"/>
      <c r="GXL57" s="232"/>
      <c r="GXM57" s="233"/>
      <c r="GXN57" s="233"/>
      <c r="GXO57" s="233"/>
      <c r="GXP57" s="233"/>
      <c r="GXQ57" s="233"/>
      <c r="GXR57" s="233"/>
      <c r="GXS57" s="231"/>
      <c r="GXT57" s="231"/>
      <c r="GXU57" s="229"/>
      <c r="GXV57" s="230"/>
      <c r="GXW57" s="231"/>
      <c r="GXX57" s="232"/>
      <c r="GXY57" s="233"/>
      <c r="GXZ57" s="233"/>
      <c r="GYA57" s="233"/>
      <c r="GYB57" s="233"/>
      <c r="GYC57" s="233"/>
      <c r="GYD57" s="233"/>
      <c r="GYE57" s="231"/>
      <c r="GYF57" s="231"/>
      <c r="GYG57" s="229"/>
      <c r="GYH57" s="230"/>
      <c r="GYI57" s="231"/>
      <c r="GYJ57" s="232"/>
      <c r="GYK57" s="233"/>
      <c r="GYL57" s="233"/>
      <c r="GYM57" s="233"/>
      <c r="GYN57" s="233"/>
      <c r="GYO57" s="233"/>
      <c r="GYP57" s="233"/>
      <c r="GYQ57" s="231"/>
      <c r="GYR57" s="231"/>
      <c r="GYS57" s="229"/>
      <c r="GYT57" s="230"/>
      <c r="GYU57" s="231"/>
      <c r="GYV57" s="232"/>
      <c r="GYW57" s="233"/>
      <c r="GYX57" s="233"/>
      <c r="GYY57" s="233"/>
      <c r="GYZ57" s="233"/>
      <c r="GZA57" s="233"/>
      <c r="GZB57" s="233"/>
      <c r="GZC57" s="231"/>
      <c r="GZD57" s="231"/>
      <c r="GZE57" s="229"/>
      <c r="GZF57" s="230"/>
      <c r="GZG57" s="231"/>
      <c r="GZH57" s="232"/>
      <c r="GZI57" s="233"/>
      <c r="GZJ57" s="233"/>
      <c r="GZK57" s="233"/>
      <c r="GZL57" s="233"/>
      <c r="GZM57" s="233"/>
      <c r="GZN57" s="233"/>
      <c r="GZO57" s="231"/>
      <c r="GZP57" s="231"/>
      <c r="GZQ57" s="229"/>
      <c r="GZR57" s="230"/>
      <c r="GZS57" s="231"/>
      <c r="GZT57" s="232"/>
      <c r="GZU57" s="233"/>
      <c r="GZV57" s="233"/>
      <c r="GZW57" s="233"/>
      <c r="GZX57" s="233"/>
      <c r="GZY57" s="233"/>
      <c r="GZZ57" s="233"/>
      <c r="HAA57" s="231"/>
      <c r="HAB57" s="231"/>
      <c r="HAC57" s="229"/>
      <c r="HAD57" s="230"/>
      <c r="HAE57" s="231"/>
      <c r="HAF57" s="232"/>
      <c r="HAG57" s="233"/>
      <c r="HAH57" s="233"/>
      <c r="HAI57" s="233"/>
      <c r="HAJ57" s="233"/>
      <c r="HAK57" s="233"/>
      <c r="HAL57" s="233"/>
      <c r="HAM57" s="231"/>
      <c r="HAN57" s="231"/>
      <c r="HAO57" s="229"/>
      <c r="HAP57" s="230"/>
      <c r="HAQ57" s="231"/>
      <c r="HAR57" s="232"/>
      <c r="HAS57" s="233"/>
      <c r="HAT57" s="233"/>
      <c r="HAU57" s="233"/>
      <c r="HAV57" s="233"/>
      <c r="HAW57" s="233"/>
      <c r="HAX57" s="233"/>
      <c r="HAY57" s="231"/>
      <c r="HAZ57" s="231"/>
      <c r="HBA57" s="229"/>
      <c r="HBB57" s="230"/>
      <c r="HBC57" s="231"/>
      <c r="HBD57" s="232"/>
      <c r="HBE57" s="233"/>
      <c r="HBF57" s="233"/>
      <c r="HBG57" s="233"/>
      <c r="HBH57" s="233"/>
      <c r="HBI57" s="233"/>
      <c r="HBJ57" s="233"/>
      <c r="HBK57" s="231"/>
      <c r="HBL57" s="231"/>
      <c r="HBM57" s="229"/>
      <c r="HBN57" s="230"/>
      <c r="HBO57" s="231"/>
      <c r="HBP57" s="232"/>
      <c r="HBQ57" s="233"/>
      <c r="HBR57" s="233"/>
      <c r="HBS57" s="233"/>
      <c r="HBT57" s="233"/>
      <c r="HBU57" s="233"/>
      <c r="HBV57" s="233"/>
      <c r="HBW57" s="231"/>
      <c r="HBX57" s="231"/>
      <c r="HBY57" s="229"/>
      <c r="HBZ57" s="230"/>
      <c r="HCA57" s="231"/>
      <c r="HCB57" s="232"/>
      <c r="HCC57" s="233"/>
      <c r="HCD57" s="233"/>
      <c r="HCE57" s="233"/>
      <c r="HCF57" s="233"/>
      <c r="HCG57" s="233"/>
      <c r="HCH57" s="233"/>
      <c r="HCI57" s="231"/>
      <c r="HCJ57" s="231"/>
      <c r="HCK57" s="229"/>
      <c r="HCL57" s="230"/>
      <c r="HCM57" s="231"/>
      <c r="HCN57" s="232"/>
      <c r="HCO57" s="233"/>
      <c r="HCP57" s="233"/>
      <c r="HCQ57" s="233"/>
      <c r="HCR57" s="233"/>
      <c r="HCS57" s="233"/>
      <c r="HCT57" s="233"/>
      <c r="HCU57" s="231"/>
      <c r="HCV57" s="231"/>
      <c r="HCW57" s="229"/>
      <c r="HCX57" s="230"/>
      <c r="HCY57" s="231"/>
      <c r="HCZ57" s="232"/>
      <c r="HDA57" s="233"/>
      <c r="HDB57" s="233"/>
      <c r="HDC57" s="233"/>
      <c r="HDD57" s="233"/>
      <c r="HDE57" s="233"/>
      <c r="HDF57" s="233"/>
      <c r="HDG57" s="231"/>
      <c r="HDH57" s="231"/>
      <c r="HDI57" s="229"/>
      <c r="HDJ57" s="230"/>
      <c r="HDK57" s="231"/>
      <c r="HDL57" s="232"/>
      <c r="HDM57" s="233"/>
      <c r="HDN57" s="233"/>
      <c r="HDO57" s="233"/>
      <c r="HDP57" s="233"/>
      <c r="HDQ57" s="233"/>
      <c r="HDR57" s="233"/>
      <c r="HDS57" s="231"/>
      <c r="HDT57" s="231"/>
      <c r="HDU57" s="229"/>
      <c r="HDV57" s="230"/>
      <c r="HDW57" s="231"/>
      <c r="HDX57" s="232"/>
      <c r="HDY57" s="233"/>
      <c r="HDZ57" s="233"/>
      <c r="HEA57" s="233"/>
      <c r="HEB57" s="233"/>
      <c r="HEC57" s="233"/>
      <c r="HED57" s="233"/>
      <c r="HEE57" s="231"/>
      <c r="HEF57" s="231"/>
      <c r="HEG57" s="229"/>
      <c r="HEH57" s="230"/>
      <c r="HEI57" s="231"/>
      <c r="HEJ57" s="232"/>
      <c r="HEK57" s="233"/>
      <c r="HEL57" s="233"/>
      <c r="HEM57" s="233"/>
      <c r="HEN57" s="233"/>
      <c r="HEO57" s="233"/>
      <c r="HEP57" s="233"/>
      <c r="HEQ57" s="231"/>
      <c r="HER57" s="231"/>
      <c r="HES57" s="229"/>
      <c r="HET57" s="230"/>
      <c r="HEU57" s="231"/>
      <c r="HEV57" s="232"/>
      <c r="HEW57" s="233"/>
      <c r="HEX57" s="233"/>
      <c r="HEY57" s="233"/>
      <c r="HEZ57" s="233"/>
      <c r="HFA57" s="233"/>
      <c r="HFB57" s="233"/>
      <c r="HFC57" s="231"/>
      <c r="HFD57" s="231"/>
      <c r="HFE57" s="229"/>
      <c r="HFF57" s="230"/>
      <c r="HFG57" s="231"/>
      <c r="HFH57" s="232"/>
      <c r="HFI57" s="233"/>
      <c r="HFJ57" s="233"/>
      <c r="HFK57" s="233"/>
      <c r="HFL57" s="233"/>
      <c r="HFM57" s="233"/>
      <c r="HFN57" s="233"/>
      <c r="HFO57" s="231"/>
      <c r="HFP57" s="231"/>
      <c r="HFQ57" s="229"/>
      <c r="HFR57" s="230"/>
      <c r="HFS57" s="231"/>
      <c r="HFT57" s="232"/>
      <c r="HFU57" s="233"/>
      <c r="HFV57" s="233"/>
      <c r="HFW57" s="233"/>
      <c r="HFX57" s="233"/>
      <c r="HFY57" s="233"/>
      <c r="HFZ57" s="233"/>
      <c r="HGA57" s="231"/>
      <c r="HGB57" s="231"/>
      <c r="HGC57" s="229"/>
      <c r="HGD57" s="230"/>
      <c r="HGE57" s="231"/>
      <c r="HGF57" s="232"/>
      <c r="HGG57" s="233"/>
      <c r="HGH57" s="233"/>
      <c r="HGI57" s="233"/>
      <c r="HGJ57" s="233"/>
      <c r="HGK57" s="233"/>
      <c r="HGL57" s="233"/>
      <c r="HGM57" s="231"/>
      <c r="HGN57" s="231"/>
      <c r="HGO57" s="229"/>
      <c r="HGP57" s="230"/>
      <c r="HGQ57" s="231"/>
      <c r="HGR57" s="232"/>
      <c r="HGS57" s="233"/>
      <c r="HGT57" s="233"/>
      <c r="HGU57" s="233"/>
      <c r="HGV57" s="233"/>
      <c r="HGW57" s="233"/>
      <c r="HGX57" s="233"/>
      <c r="HGY57" s="231"/>
      <c r="HGZ57" s="231"/>
      <c r="HHA57" s="229"/>
      <c r="HHB57" s="230"/>
      <c r="HHC57" s="231"/>
      <c r="HHD57" s="232"/>
      <c r="HHE57" s="233"/>
      <c r="HHF57" s="233"/>
      <c r="HHG57" s="233"/>
      <c r="HHH57" s="233"/>
      <c r="HHI57" s="233"/>
      <c r="HHJ57" s="233"/>
      <c r="HHK57" s="231"/>
      <c r="HHL57" s="231"/>
      <c r="HHM57" s="229"/>
      <c r="HHN57" s="230"/>
      <c r="HHO57" s="231"/>
      <c r="HHP57" s="232"/>
      <c r="HHQ57" s="233"/>
      <c r="HHR57" s="233"/>
      <c r="HHS57" s="233"/>
      <c r="HHT57" s="233"/>
      <c r="HHU57" s="233"/>
      <c r="HHV57" s="233"/>
      <c r="HHW57" s="231"/>
      <c r="HHX57" s="231"/>
      <c r="HHY57" s="229"/>
      <c r="HHZ57" s="230"/>
      <c r="HIA57" s="231"/>
      <c r="HIB57" s="232"/>
      <c r="HIC57" s="233"/>
      <c r="HID57" s="233"/>
      <c r="HIE57" s="233"/>
      <c r="HIF57" s="233"/>
      <c r="HIG57" s="233"/>
      <c r="HIH57" s="233"/>
      <c r="HII57" s="231"/>
      <c r="HIJ57" s="231"/>
      <c r="HIK57" s="229"/>
      <c r="HIL57" s="230"/>
      <c r="HIM57" s="231"/>
      <c r="HIN57" s="232"/>
      <c r="HIO57" s="233"/>
      <c r="HIP57" s="233"/>
      <c r="HIQ57" s="233"/>
      <c r="HIR57" s="233"/>
      <c r="HIS57" s="233"/>
      <c r="HIT57" s="233"/>
      <c r="HIU57" s="231"/>
      <c r="HIV57" s="231"/>
      <c r="HIW57" s="229"/>
      <c r="HIX57" s="230"/>
      <c r="HIY57" s="231"/>
      <c r="HIZ57" s="232"/>
      <c r="HJA57" s="233"/>
      <c r="HJB57" s="233"/>
      <c r="HJC57" s="233"/>
      <c r="HJD57" s="233"/>
      <c r="HJE57" s="233"/>
      <c r="HJF57" s="233"/>
      <c r="HJG57" s="231"/>
      <c r="HJH57" s="231"/>
      <c r="HJI57" s="229"/>
      <c r="HJJ57" s="230"/>
      <c r="HJK57" s="231"/>
      <c r="HJL57" s="232"/>
      <c r="HJM57" s="233"/>
      <c r="HJN57" s="233"/>
      <c r="HJO57" s="233"/>
      <c r="HJP57" s="233"/>
      <c r="HJQ57" s="233"/>
      <c r="HJR57" s="233"/>
      <c r="HJS57" s="231"/>
      <c r="HJT57" s="231"/>
      <c r="HJU57" s="229"/>
      <c r="HJV57" s="230"/>
      <c r="HJW57" s="231"/>
      <c r="HJX57" s="232"/>
      <c r="HJY57" s="233"/>
      <c r="HJZ57" s="233"/>
      <c r="HKA57" s="233"/>
      <c r="HKB57" s="233"/>
      <c r="HKC57" s="233"/>
      <c r="HKD57" s="233"/>
      <c r="HKE57" s="231"/>
      <c r="HKF57" s="231"/>
      <c r="HKG57" s="229"/>
      <c r="HKH57" s="230"/>
      <c r="HKI57" s="231"/>
      <c r="HKJ57" s="232"/>
      <c r="HKK57" s="233"/>
      <c r="HKL57" s="233"/>
      <c r="HKM57" s="233"/>
      <c r="HKN57" s="233"/>
      <c r="HKO57" s="233"/>
      <c r="HKP57" s="233"/>
      <c r="HKQ57" s="231"/>
      <c r="HKR57" s="231"/>
      <c r="HKS57" s="229"/>
      <c r="HKT57" s="230"/>
      <c r="HKU57" s="231"/>
      <c r="HKV57" s="232"/>
      <c r="HKW57" s="233"/>
      <c r="HKX57" s="233"/>
      <c r="HKY57" s="233"/>
      <c r="HKZ57" s="233"/>
      <c r="HLA57" s="233"/>
      <c r="HLB57" s="233"/>
      <c r="HLC57" s="231"/>
      <c r="HLD57" s="231"/>
      <c r="HLE57" s="229"/>
      <c r="HLF57" s="230"/>
      <c r="HLG57" s="231"/>
      <c r="HLH57" s="232"/>
      <c r="HLI57" s="233"/>
      <c r="HLJ57" s="233"/>
      <c r="HLK57" s="233"/>
      <c r="HLL57" s="233"/>
      <c r="HLM57" s="233"/>
      <c r="HLN57" s="233"/>
      <c r="HLO57" s="231"/>
      <c r="HLP57" s="231"/>
      <c r="HLQ57" s="229"/>
      <c r="HLR57" s="230"/>
      <c r="HLS57" s="231"/>
      <c r="HLT57" s="232"/>
      <c r="HLU57" s="233"/>
      <c r="HLV57" s="233"/>
      <c r="HLW57" s="233"/>
      <c r="HLX57" s="233"/>
      <c r="HLY57" s="233"/>
      <c r="HLZ57" s="233"/>
      <c r="HMA57" s="231"/>
      <c r="HMB57" s="231"/>
      <c r="HMC57" s="229"/>
      <c r="HMD57" s="230"/>
      <c r="HME57" s="231"/>
      <c r="HMF57" s="232"/>
      <c r="HMG57" s="233"/>
      <c r="HMH57" s="233"/>
      <c r="HMI57" s="233"/>
      <c r="HMJ57" s="233"/>
      <c r="HMK57" s="233"/>
      <c r="HML57" s="233"/>
      <c r="HMM57" s="231"/>
      <c r="HMN57" s="231"/>
      <c r="HMO57" s="229"/>
      <c r="HMP57" s="230"/>
      <c r="HMQ57" s="231"/>
      <c r="HMR57" s="232"/>
      <c r="HMS57" s="233"/>
      <c r="HMT57" s="233"/>
      <c r="HMU57" s="233"/>
      <c r="HMV57" s="233"/>
      <c r="HMW57" s="233"/>
      <c r="HMX57" s="233"/>
      <c r="HMY57" s="231"/>
      <c r="HMZ57" s="231"/>
      <c r="HNA57" s="229"/>
      <c r="HNB57" s="230"/>
      <c r="HNC57" s="231"/>
      <c r="HND57" s="232"/>
      <c r="HNE57" s="233"/>
      <c r="HNF57" s="233"/>
      <c r="HNG57" s="233"/>
      <c r="HNH57" s="233"/>
      <c r="HNI57" s="233"/>
      <c r="HNJ57" s="233"/>
      <c r="HNK57" s="231"/>
      <c r="HNL57" s="231"/>
      <c r="HNM57" s="229"/>
      <c r="HNN57" s="230"/>
      <c r="HNO57" s="231"/>
      <c r="HNP57" s="232"/>
      <c r="HNQ57" s="233"/>
      <c r="HNR57" s="233"/>
      <c r="HNS57" s="233"/>
      <c r="HNT57" s="233"/>
      <c r="HNU57" s="233"/>
      <c r="HNV57" s="233"/>
      <c r="HNW57" s="231"/>
      <c r="HNX57" s="231"/>
      <c r="HNY57" s="229"/>
      <c r="HNZ57" s="230"/>
      <c r="HOA57" s="231"/>
      <c r="HOB57" s="232"/>
      <c r="HOC57" s="233"/>
      <c r="HOD57" s="233"/>
      <c r="HOE57" s="233"/>
      <c r="HOF57" s="233"/>
      <c r="HOG57" s="233"/>
      <c r="HOH57" s="233"/>
      <c r="HOI57" s="231"/>
      <c r="HOJ57" s="231"/>
      <c r="HOK57" s="229"/>
      <c r="HOL57" s="230"/>
      <c r="HOM57" s="231"/>
      <c r="HON57" s="232"/>
      <c r="HOO57" s="233"/>
      <c r="HOP57" s="233"/>
      <c r="HOQ57" s="233"/>
      <c r="HOR57" s="233"/>
      <c r="HOS57" s="233"/>
      <c r="HOT57" s="233"/>
      <c r="HOU57" s="231"/>
      <c r="HOV57" s="231"/>
      <c r="HOW57" s="229"/>
      <c r="HOX57" s="230"/>
      <c r="HOY57" s="231"/>
      <c r="HOZ57" s="232"/>
      <c r="HPA57" s="233"/>
      <c r="HPB57" s="233"/>
      <c r="HPC57" s="233"/>
      <c r="HPD57" s="233"/>
      <c r="HPE57" s="233"/>
      <c r="HPF57" s="233"/>
      <c r="HPG57" s="231"/>
      <c r="HPH57" s="231"/>
      <c r="HPI57" s="229"/>
      <c r="HPJ57" s="230"/>
      <c r="HPK57" s="231"/>
      <c r="HPL57" s="232"/>
      <c r="HPM57" s="233"/>
      <c r="HPN57" s="233"/>
      <c r="HPO57" s="233"/>
      <c r="HPP57" s="233"/>
      <c r="HPQ57" s="233"/>
      <c r="HPR57" s="233"/>
      <c r="HPS57" s="231"/>
      <c r="HPT57" s="231"/>
      <c r="HPU57" s="229"/>
      <c r="HPV57" s="230"/>
      <c r="HPW57" s="231"/>
      <c r="HPX57" s="232"/>
      <c r="HPY57" s="233"/>
      <c r="HPZ57" s="233"/>
      <c r="HQA57" s="233"/>
      <c r="HQB57" s="233"/>
      <c r="HQC57" s="233"/>
      <c r="HQD57" s="233"/>
      <c r="HQE57" s="231"/>
      <c r="HQF57" s="231"/>
      <c r="HQG57" s="229"/>
      <c r="HQH57" s="230"/>
      <c r="HQI57" s="231"/>
      <c r="HQJ57" s="232"/>
      <c r="HQK57" s="233"/>
      <c r="HQL57" s="233"/>
      <c r="HQM57" s="233"/>
      <c r="HQN57" s="233"/>
      <c r="HQO57" s="233"/>
      <c r="HQP57" s="233"/>
      <c r="HQQ57" s="231"/>
      <c r="HQR57" s="231"/>
      <c r="HQS57" s="229"/>
      <c r="HQT57" s="230"/>
      <c r="HQU57" s="231"/>
      <c r="HQV57" s="232"/>
      <c r="HQW57" s="233"/>
      <c r="HQX57" s="233"/>
      <c r="HQY57" s="233"/>
      <c r="HQZ57" s="233"/>
      <c r="HRA57" s="233"/>
      <c r="HRB57" s="233"/>
      <c r="HRC57" s="231"/>
      <c r="HRD57" s="231"/>
      <c r="HRE57" s="229"/>
      <c r="HRF57" s="230"/>
      <c r="HRG57" s="231"/>
      <c r="HRH57" s="232"/>
      <c r="HRI57" s="233"/>
      <c r="HRJ57" s="233"/>
      <c r="HRK57" s="233"/>
      <c r="HRL57" s="233"/>
      <c r="HRM57" s="233"/>
      <c r="HRN57" s="233"/>
      <c r="HRO57" s="231"/>
      <c r="HRP57" s="231"/>
      <c r="HRQ57" s="229"/>
      <c r="HRR57" s="230"/>
      <c r="HRS57" s="231"/>
      <c r="HRT57" s="232"/>
      <c r="HRU57" s="233"/>
      <c r="HRV57" s="233"/>
      <c r="HRW57" s="233"/>
      <c r="HRX57" s="233"/>
      <c r="HRY57" s="233"/>
      <c r="HRZ57" s="233"/>
      <c r="HSA57" s="231"/>
      <c r="HSB57" s="231"/>
      <c r="HSC57" s="229"/>
      <c r="HSD57" s="230"/>
      <c r="HSE57" s="231"/>
      <c r="HSF57" s="232"/>
      <c r="HSG57" s="233"/>
      <c r="HSH57" s="233"/>
      <c r="HSI57" s="233"/>
      <c r="HSJ57" s="233"/>
      <c r="HSK57" s="233"/>
      <c r="HSL57" s="233"/>
      <c r="HSM57" s="231"/>
      <c r="HSN57" s="231"/>
      <c r="HSO57" s="229"/>
      <c r="HSP57" s="230"/>
      <c r="HSQ57" s="231"/>
      <c r="HSR57" s="232"/>
      <c r="HSS57" s="233"/>
      <c r="HST57" s="233"/>
      <c r="HSU57" s="233"/>
      <c r="HSV57" s="233"/>
      <c r="HSW57" s="233"/>
      <c r="HSX57" s="233"/>
      <c r="HSY57" s="231"/>
      <c r="HSZ57" s="231"/>
      <c r="HTA57" s="229"/>
      <c r="HTB57" s="230"/>
      <c r="HTC57" s="231"/>
      <c r="HTD57" s="232"/>
      <c r="HTE57" s="233"/>
      <c r="HTF57" s="233"/>
      <c r="HTG57" s="233"/>
      <c r="HTH57" s="233"/>
      <c r="HTI57" s="233"/>
      <c r="HTJ57" s="233"/>
      <c r="HTK57" s="231"/>
      <c r="HTL57" s="231"/>
      <c r="HTM57" s="229"/>
      <c r="HTN57" s="230"/>
      <c r="HTO57" s="231"/>
      <c r="HTP57" s="232"/>
      <c r="HTQ57" s="233"/>
      <c r="HTR57" s="233"/>
      <c r="HTS57" s="233"/>
      <c r="HTT57" s="233"/>
      <c r="HTU57" s="233"/>
      <c r="HTV57" s="233"/>
      <c r="HTW57" s="231"/>
      <c r="HTX57" s="231"/>
      <c r="HTY57" s="229"/>
      <c r="HTZ57" s="230"/>
      <c r="HUA57" s="231"/>
      <c r="HUB57" s="232"/>
      <c r="HUC57" s="233"/>
      <c r="HUD57" s="233"/>
      <c r="HUE57" s="233"/>
      <c r="HUF57" s="233"/>
      <c r="HUG57" s="233"/>
      <c r="HUH57" s="233"/>
      <c r="HUI57" s="231"/>
      <c r="HUJ57" s="231"/>
      <c r="HUK57" s="229"/>
      <c r="HUL57" s="230"/>
      <c r="HUM57" s="231"/>
      <c r="HUN57" s="232"/>
      <c r="HUO57" s="233"/>
      <c r="HUP57" s="233"/>
      <c r="HUQ57" s="233"/>
      <c r="HUR57" s="233"/>
      <c r="HUS57" s="233"/>
      <c r="HUT57" s="233"/>
      <c r="HUU57" s="231"/>
      <c r="HUV57" s="231"/>
      <c r="HUW57" s="229"/>
      <c r="HUX57" s="230"/>
      <c r="HUY57" s="231"/>
      <c r="HUZ57" s="232"/>
      <c r="HVA57" s="233"/>
      <c r="HVB57" s="233"/>
      <c r="HVC57" s="233"/>
      <c r="HVD57" s="233"/>
      <c r="HVE57" s="233"/>
      <c r="HVF57" s="233"/>
      <c r="HVG57" s="231"/>
      <c r="HVH57" s="231"/>
      <c r="HVI57" s="229"/>
      <c r="HVJ57" s="230"/>
      <c r="HVK57" s="231"/>
      <c r="HVL57" s="232"/>
      <c r="HVM57" s="233"/>
      <c r="HVN57" s="233"/>
      <c r="HVO57" s="233"/>
      <c r="HVP57" s="233"/>
      <c r="HVQ57" s="233"/>
      <c r="HVR57" s="233"/>
      <c r="HVS57" s="231"/>
      <c r="HVT57" s="231"/>
      <c r="HVU57" s="229"/>
      <c r="HVV57" s="230"/>
      <c r="HVW57" s="231"/>
      <c r="HVX57" s="232"/>
      <c r="HVY57" s="233"/>
      <c r="HVZ57" s="233"/>
      <c r="HWA57" s="233"/>
      <c r="HWB57" s="233"/>
      <c r="HWC57" s="233"/>
      <c r="HWD57" s="233"/>
      <c r="HWE57" s="231"/>
      <c r="HWF57" s="231"/>
      <c r="HWG57" s="229"/>
      <c r="HWH57" s="230"/>
      <c r="HWI57" s="231"/>
      <c r="HWJ57" s="232"/>
      <c r="HWK57" s="233"/>
      <c r="HWL57" s="233"/>
      <c r="HWM57" s="233"/>
      <c r="HWN57" s="233"/>
      <c r="HWO57" s="233"/>
      <c r="HWP57" s="233"/>
      <c r="HWQ57" s="231"/>
      <c r="HWR57" s="231"/>
      <c r="HWS57" s="229"/>
      <c r="HWT57" s="230"/>
      <c r="HWU57" s="231"/>
      <c r="HWV57" s="232"/>
      <c r="HWW57" s="233"/>
      <c r="HWX57" s="233"/>
      <c r="HWY57" s="233"/>
      <c r="HWZ57" s="233"/>
      <c r="HXA57" s="233"/>
      <c r="HXB57" s="233"/>
      <c r="HXC57" s="231"/>
      <c r="HXD57" s="231"/>
      <c r="HXE57" s="229"/>
      <c r="HXF57" s="230"/>
      <c r="HXG57" s="231"/>
      <c r="HXH57" s="232"/>
      <c r="HXI57" s="233"/>
      <c r="HXJ57" s="233"/>
      <c r="HXK57" s="233"/>
      <c r="HXL57" s="233"/>
      <c r="HXM57" s="233"/>
      <c r="HXN57" s="233"/>
      <c r="HXO57" s="231"/>
      <c r="HXP57" s="231"/>
      <c r="HXQ57" s="229"/>
      <c r="HXR57" s="230"/>
      <c r="HXS57" s="231"/>
      <c r="HXT57" s="232"/>
      <c r="HXU57" s="233"/>
      <c r="HXV57" s="233"/>
      <c r="HXW57" s="233"/>
      <c r="HXX57" s="233"/>
      <c r="HXY57" s="233"/>
      <c r="HXZ57" s="233"/>
      <c r="HYA57" s="231"/>
      <c r="HYB57" s="231"/>
      <c r="HYC57" s="229"/>
      <c r="HYD57" s="230"/>
      <c r="HYE57" s="231"/>
      <c r="HYF57" s="232"/>
      <c r="HYG57" s="233"/>
      <c r="HYH57" s="233"/>
      <c r="HYI57" s="233"/>
      <c r="HYJ57" s="233"/>
      <c r="HYK57" s="233"/>
      <c r="HYL57" s="233"/>
      <c r="HYM57" s="231"/>
      <c r="HYN57" s="231"/>
      <c r="HYO57" s="229"/>
      <c r="HYP57" s="230"/>
      <c r="HYQ57" s="231"/>
      <c r="HYR57" s="232"/>
      <c r="HYS57" s="233"/>
      <c r="HYT57" s="233"/>
      <c r="HYU57" s="233"/>
      <c r="HYV57" s="233"/>
      <c r="HYW57" s="233"/>
      <c r="HYX57" s="233"/>
      <c r="HYY57" s="231"/>
      <c r="HYZ57" s="231"/>
      <c r="HZA57" s="229"/>
      <c r="HZB57" s="230"/>
      <c r="HZC57" s="231"/>
      <c r="HZD57" s="232"/>
      <c r="HZE57" s="233"/>
      <c r="HZF57" s="233"/>
      <c r="HZG57" s="233"/>
      <c r="HZH57" s="233"/>
      <c r="HZI57" s="233"/>
      <c r="HZJ57" s="233"/>
      <c r="HZK57" s="231"/>
      <c r="HZL57" s="231"/>
      <c r="HZM57" s="229"/>
      <c r="HZN57" s="230"/>
      <c r="HZO57" s="231"/>
      <c r="HZP57" s="232"/>
      <c r="HZQ57" s="233"/>
      <c r="HZR57" s="233"/>
      <c r="HZS57" s="233"/>
      <c r="HZT57" s="233"/>
      <c r="HZU57" s="233"/>
      <c r="HZV57" s="233"/>
      <c r="HZW57" s="231"/>
      <c r="HZX57" s="231"/>
      <c r="HZY57" s="229"/>
      <c r="HZZ57" s="230"/>
      <c r="IAA57" s="231"/>
      <c r="IAB57" s="232"/>
      <c r="IAC57" s="233"/>
      <c r="IAD57" s="233"/>
      <c r="IAE57" s="233"/>
      <c r="IAF57" s="233"/>
      <c r="IAG57" s="233"/>
      <c r="IAH57" s="233"/>
      <c r="IAI57" s="231"/>
      <c r="IAJ57" s="231"/>
      <c r="IAK57" s="229"/>
      <c r="IAL57" s="230"/>
      <c r="IAM57" s="231"/>
      <c r="IAN57" s="232"/>
      <c r="IAO57" s="233"/>
      <c r="IAP57" s="233"/>
      <c r="IAQ57" s="233"/>
      <c r="IAR57" s="233"/>
      <c r="IAS57" s="233"/>
      <c r="IAT57" s="233"/>
      <c r="IAU57" s="231"/>
      <c r="IAV57" s="231"/>
      <c r="IAW57" s="229"/>
      <c r="IAX57" s="230"/>
      <c r="IAY57" s="231"/>
      <c r="IAZ57" s="232"/>
      <c r="IBA57" s="233"/>
      <c r="IBB57" s="233"/>
      <c r="IBC57" s="233"/>
      <c r="IBD57" s="233"/>
      <c r="IBE57" s="233"/>
      <c r="IBF57" s="233"/>
      <c r="IBG57" s="231"/>
      <c r="IBH57" s="231"/>
      <c r="IBI57" s="229"/>
      <c r="IBJ57" s="230"/>
      <c r="IBK57" s="231"/>
      <c r="IBL57" s="232"/>
      <c r="IBM57" s="233"/>
      <c r="IBN57" s="233"/>
      <c r="IBO57" s="233"/>
      <c r="IBP57" s="233"/>
      <c r="IBQ57" s="233"/>
      <c r="IBR57" s="233"/>
      <c r="IBS57" s="231"/>
      <c r="IBT57" s="231"/>
      <c r="IBU57" s="229"/>
      <c r="IBV57" s="230"/>
      <c r="IBW57" s="231"/>
      <c r="IBX57" s="232"/>
      <c r="IBY57" s="233"/>
      <c r="IBZ57" s="233"/>
      <c r="ICA57" s="233"/>
      <c r="ICB57" s="233"/>
      <c r="ICC57" s="233"/>
      <c r="ICD57" s="233"/>
      <c r="ICE57" s="231"/>
      <c r="ICF57" s="231"/>
      <c r="ICG57" s="229"/>
      <c r="ICH57" s="230"/>
      <c r="ICI57" s="231"/>
      <c r="ICJ57" s="232"/>
      <c r="ICK57" s="233"/>
      <c r="ICL57" s="233"/>
      <c r="ICM57" s="233"/>
      <c r="ICN57" s="233"/>
      <c r="ICO57" s="233"/>
      <c r="ICP57" s="233"/>
      <c r="ICQ57" s="231"/>
      <c r="ICR57" s="231"/>
      <c r="ICS57" s="229"/>
      <c r="ICT57" s="230"/>
      <c r="ICU57" s="231"/>
      <c r="ICV57" s="232"/>
      <c r="ICW57" s="233"/>
      <c r="ICX57" s="233"/>
      <c r="ICY57" s="233"/>
      <c r="ICZ57" s="233"/>
      <c r="IDA57" s="233"/>
      <c r="IDB57" s="233"/>
      <c r="IDC57" s="231"/>
      <c r="IDD57" s="231"/>
      <c r="IDE57" s="229"/>
      <c r="IDF57" s="230"/>
      <c r="IDG57" s="231"/>
      <c r="IDH57" s="232"/>
      <c r="IDI57" s="233"/>
      <c r="IDJ57" s="233"/>
      <c r="IDK57" s="233"/>
      <c r="IDL57" s="233"/>
      <c r="IDM57" s="233"/>
      <c r="IDN57" s="233"/>
      <c r="IDO57" s="231"/>
      <c r="IDP57" s="231"/>
      <c r="IDQ57" s="229"/>
      <c r="IDR57" s="230"/>
      <c r="IDS57" s="231"/>
      <c r="IDT57" s="232"/>
      <c r="IDU57" s="233"/>
      <c r="IDV57" s="233"/>
      <c r="IDW57" s="233"/>
      <c r="IDX57" s="233"/>
      <c r="IDY57" s="233"/>
      <c r="IDZ57" s="233"/>
      <c r="IEA57" s="231"/>
      <c r="IEB57" s="231"/>
      <c r="IEC57" s="229"/>
      <c r="IED57" s="230"/>
      <c r="IEE57" s="231"/>
      <c r="IEF57" s="232"/>
      <c r="IEG57" s="233"/>
      <c r="IEH57" s="233"/>
      <c r="IEI57" s="233"/>
      <c r="IEJ57" s="233"/>
      <c r="IEK57" s="233"/>
      <c r="IEL57" s="233"/>
      <c r="IEM57" s="231"/>
      <c r="IEN57" s="231"/>
      <c r="IEO57" s="229"/>
      <c r="IEP57" s="230"/>
      <c r="IEQ57" s="231"/>
      <c r="IER57" s="232"/>
      <c r="IES57" s="233"/>
      <c r="IET57" s="233"/>
      <c r="IEU57" s="233"/>
      <c r="IEV57" s="233"/>
      <c r="IEW57" s="233"/>
      <c r="IEX57" s="233"/>
      <c r="IEY57" s="231"/>
      <c r="IEZ57" s="231"/>
      <c r="IFA57" s="229"/>
      <c r="IFB57" s="230"/>
      <c r="IFC57" s="231"/>
      <c r="IFD57" s="232"/>
      <c r="IFE57" s="233"/>
      <c r="IFF57" s="233"/>
      <c r="IFG57" s="233"/>
      <c r="IFH57" s="233"/>
      <c r="IFI57" s="233"/>
      <c r="IFJ57" s="233"/>
      <c r="IFK57" s="231"/>
      <c r="IFL57" s="231"/>
      <c r="IFM57" s="229"/>
      <c r="IFN57" s="230"/>
      <c r="IFO57" s="231"/>
      <c r="IFP57" s="232"/>
      <c r="IFQ57" s="233"/>
      <c r="IFR57" s="233"/>
      <c r="IFS57" s="233"/>
      <c r="IFT57" s="233"/>
      <c r="IFU57" s="233"/>
      <c r="IFV57" s="233"/>
      <c r="IFW57" s="231"/>
      <c r="IFX57" s="231"/>
      <c r="IFY57" s="229"/>
      <c r="IFZ57" s="230"/>
      <c r="IGA57" s="231"/>
      <c r="IGB57" s="232"/>
      <c r="IGC57" s="233"/>
      <c r="IGD57" s="233"/>
      <c r="IGE57" s="233"/>
      <c r="IGF57" s="233"/>
      <c r="IGG57" s="233"/>
      <c r="IGH57" s="233"/>
      <c r="IGI57" s="231"/>
      <c r="IGJ57" s="231"/>
      <c r="IGK57" s="229"/>
      <c r="IGL57" s="230"/>
      <c r="IGM57" s="231"/>
      <c r="IGN57" s="232"/>
      <c r="IGO57" s="233"/>
      <c r="IGP57" s="233"/>
      <c r="IGQ57" s="233"/>
      <c r="IGR57" s="233"/>
      <c r="IGS57" s="233"/>
      <c r="IGT57" s="233"/>
      <c r="IGU57" s="231"/>
      <c r="IGV57" s="231"/>
      <c r="IGW57" s="229"/>
      <c r="IGX57" s="230"/>
      <c r="IGY57" s="231"/>
      <c r="IGZ57" s="232"/>
      <c r="IHA57" s="233"/>
      <c r="IHB57" s="233"/>
      <c r="IHC57" s="233"/>
      <c r="IHD57" s="233"/>
      <c r="IHE57" s="233"/>
      <c r="IHF57" s="233"/>
      <c r="IHG57" s="231"/>
      <c r="IHH57" s="231"/>
      <c r="IHI57" s="229"/>
      <c r="IHJ57" s="230"/>
      <c r="IHK57" s="231"/>
      <c r="IHL57" s="232"/>
      <c r="IHM57" s="233"/>
      <c r="IHN57" s="233"/>
      <c r="IHO57" s="233"/>
      <c r="IHP57" s="233"/>
      <c r="IHQ57" s="233"/>
      <c r="IHR57" s="233"/>
      <c r="IHS57" s="231"/>
      <c r="IHT57" s="231"/>
      <c r="IHU57" s="229"/>
      <c r="IHV57" s="230"/>
      <c r="IHW57" s="231"/>
      <c r="IHX57" s="232"/>
      <c r="IHY57" s="233"/>
      <c r="IHZ57" s="233"/>
      <c r="IIA57" s="233"/>
      <c r="IIB57" s="233"/>
      <c r="IIC57" s="233"/>
      <c r="IID57" s="233"/>
      <c r="IIE57" s="231"/>
      <c r="IIF57" s="231"/>
      <c r="IIG57" s="229"/>
      <c r="IIH57" s="230"/>
      <c r="III57" s="231"/>
      <c r="IIJ57" s="232"/>
      <c r="IIK57" s="233"/>
      <c r="IIL57" s="233"/>
      <c r="IIM57" s="233"/>
      <c r="IIN57" s="233"/>
      <c r="IIO57" s="233"/>
      <c r="IIP57" s="233"/>
      <c r="IIQ57" s="231"/>
      <c r="IIR57" s="231"/>
      <c r="IIS57" s="229"/>
      <c r="IIT57" s="230"/>
      <c r="IIU57" s="231"/>
      <c r="IIV57" s="232"/>
      <c r="IIW57" s="233"/>
      <c r="IIX57" s="233"/>
      <c r="IIY57" s="233"/>
      <c r="IIZ57" s="233"/>
      <c r="IJA57" s="233"/>
      <c r="IJB57" s="233"/>
      <c r="IJC57" s="231"/>
      <c r="IJD57" s="231"/>
      <c r="IJE57" s="229"/>
      <c r="IJF57" s="230"/>
      <c r="IJG57" s="231"/>
      <c r="IJH57" s="232"/>
      <c r="IJI57" s="233"/>
      <c r="IJJ57" s="233"/>
      <c r="IJK57" s="233"/>
      <c r="IJL57" s="233"/>
      <c r="IJM57" s="233"/>
      <c r="IJN57" s="233"/>
      <c r="IJO57" s="231"/>
      <c r="IJP57" s="231"/>
      <c r="IJQ57" s="229"/>
      <c r="IJR57" s="230"/>
      <c r="IJS57" s="231"/>
      <c r="IJT57" s="232"/>
      <c r="IJU57" s="233"/>
      <c r="IJV57" s="233"/>
      <c r="IJW57" s="233"/>
      <c r="IJX57" s="233"/>
      <c r="IJY57" s="233"/>
      <c r="IJZ57" s="233"/>
      <c r="IKA57" s="231"/>
      <c r="IKB57" s="231"/>
      <c r="IKC57" s="229"/>
      <c r="IKD57" s="230"/>
      <c r="IKE57" s="231"/>
      <c r="IKF57" s="232"/>
      <c r="IKG57" s="233"/>
      <c r="IKH57" s="233"/>
      <c r="IKI57" s="233"/>
      <c r="IKJ57" s="233"/>
      <c r="IKK57" s="233"/>
      <c r="IKL57" s="233"/>
      <c r="IKM57" s="231"/>
      <c r="IKN57" s="231"/>
      <c r="IKO57" s="229"/>
      <c r="IKP57" s="230"/>
      <c r="IKQ57" s="231"/>
      <c r="IKR57" s="232"/>
      <c r="IKS57" s="233"/>
      <c r="IKT57" s="233"/>
      <c r="IKU57" s="233"/>
      <c r="IKV57" s="233"/>
      <c r="IKW57" s="233"/>
      <c r="IKX57" s="233"/>
      <c r="IKY57" s="231"/>
      <c r="IKZ57" s="231"/>
      <c r="ILA57" s="229"/>
      <c r="ILB57" s="230"/>
      <c r="ILC57" s="231"/>
      <c r="ILD57" s="232"/>
      <c r="ILE57" s="233"/>
      <c r="ILF57" s="233"/>
      <c r="ILG57" s="233"/>
      <c r="ILH57" s="233"/>
      <c r="ILI57" s="233"/>
      <c r="ILJ57" s="233"/>
      <c r="ILK57" s="231"/>
      <c r="ILL57" s="231"/>
      <c r="ILM57" s="229"/>
      <c r="ILN57" s="230"/>
      <c r="ILO57" s="231"/>
      <c r="ILP57" s="232"/>
      <c r="ILQ57" s="233"/>
      <c r="ILR57" s="233"/>
      <c r="ILS57" s="233"/>
      <c r="ILT57" s="233"/>
      <c r="ILU57" s="233"/>
      <c r="ILV57" s="233"/>
      <c r="ILW57" s="231"/>
      <c r="ILX57" s="231"/>
      <c r="ILY57" s="229"/>
      <c r="ILZ57" s="230"/>
      <c r="IMA57" s="231"/>
      <c r="IMB57" s="232"/>
      <c r="IMC57" s="233"/>
      <c r="IMD57" s="233"/>
      <c r="IME57" s="233"/>
      <c r="IMF57" s="233"/>
      <c r="IMG57" s="233"/>
      <c r="IMH57" s="233"/>
      <c r="IMI57" s="231"/>
      <c r="IMJ57" s="231"/>
      <c r="IMK57" s="229"/>
      <c r="IML57" s="230"/>
      <c r="IMM57" s="231"/>
      <c r="IMN57" s="232"/>
      <c r="IMO57" s="233"/>
      <c r="IMP57" s="233"/>
      <c r="IMQ57" s="233"/>
      <c r="IMR57" s="233"/>
      <c r="IMS57" s="233"/>
      <c r="IMT57" s="233"/>
      <c r="IMU57" s="231"/>
      <c r="IMV57" s="231"/>
      <c r="IMW57" s="229"/>
      <c r="IMX57" s="230"/>
      <c r="IMY57" s="231"/>
      <c r="IMZ57" s="232"/>
      <c r="INA57" s="233"/>
      <c r="INB57" s="233"/>
      <c r="INC57" s="233"/>
      <c r="IND57" s="233"/>
      <c r="INE57" s="233"/>
      <c r="INF57" s="233"/>
      <c r="ING57" s="231"/>
      <c r="INH57" s="231"/>
      <c r="INI57" s="229"/>
      <c r="INJ57" s="230"/>
      <c r="INK57" s="231"/>
      <c r="INL57" s="232"/>
      <c r="INM57" s="233"/>
      <c r="INN57" s="233"/>
      <c r="INO57" s="233"/>
      <c r="INP57" s="233"/>
      <c r="INQ57" s="233"/>
      <c r="INR57" s="233"/>
      <c r="INS57" s="231"/>
      <c r="INT57" s="231"/>
      <c r="INU57" s="229"/>
      <c r="INV57" s="230"/>
      <c r="INW57" s="231"/>
      <c r="INX57" s="232"/>
      <c r="INY57" s="233"/>
      <c r="INZ57" s="233"/>
      <c r="IOA57" s="233"/>
      <c r="IOB57" s="233"/>
      <c r="IOC57" s="233"/>
      <c r="IOD57" s="233"/>
      <c r="IOE57" s="231"/>
      <c r="IOF57" s="231"/>
      <c r="IOG57" s="229"/>
      <c r="IOH57" s="230"/>
      <c r="IOI57" s="231"/>
      <c r="IOJ57" s="232"/>
      <c r="IOK57" s="233"/>
      <c r="IOL57" s="233"/>
      <c r="IOM57" s="233"/>
      <c r="ION57" s="233"/>
      <c r="IOO57" s="233"/>
      <c r="IOP57" s="233"/>
      <c r="IOQ57" s="231"/>
      <c r="IOR57" s="231"/>
      <c r="IOS57" s="229"/>
      <c r="IOT57" s="230"/>
      <c r="IOU57" s="231"/>
      <c r="IOV57" s="232"/>
      <c r="IOW57" s="233"/>
      <c r="IOX57" s="233"/>
      <c r="IOY57" s="233"/>
      <c r="IOZ57" s="233"/>
      <c r="IPA57" s="233"/>
      <c r="IPB57" s="233"/>
      <c r="IPC57" s="231"/>
      <c r="IPD57" s="231"/>
      <c r="IPE57" s="229"/>
      <c r="IPF57" s="230"/>
      <c r="IPG57" s="231"/>
      <c r="IPH57" s="232"/>
      <c r="IPI57" s="233"/>
      <c r="IPJ57" s="233"/>
      <c r="IPK57" s="233"/>
      <c r="IPL57" s="233"/>
      <c r="IPM57" s="233"/>
      <c r="IPN57" s="233"/>
      <c r="IPO57" s="231"/>
      <c r="IPP57" s="231"/>
      <c r="IPQ57" s="229"/>
      <c r="IPR57" s="230"/>
      <c r="IPS57" s="231"/>
      <c r="IPT57" s="232"/>
      <c r="IPU57" s="233"/>
      <c r="IPV57" s="233"/>
      <c r="IPW57" s="233"/>
      <c r="IPX57" s="233"/>
      <c r="IPY57" s="233"/>
      <c r="IPZ57" s="233"/>
      <c r="IQA57" s="231"/>
      <c r="IQB57" s="231"/>
      <c r="IQC57" s="229"/>
      <c r="IQD57" s="230"/>
      <c r="IQE57" s="231"/>
      <c r="IQF57" s="232"/>
      <c r="IQG57" s="233"/>
      <c r="IQH57" s="233"/>
      <c r="IQI57" s="233"/>
      <c r="IQJ57" s="233"/>
      <c r="IQK57" s="233"/>
      <c r="IQL57" s="233"/>
      <c r="IQM57" s="231"/>
      <c r="IQN57" s="231"/>
      <c r="IQO57" s="229"/>
      <c r="IQP57" s="230"/>
      <c r="IQQ57" s="231"/>
      <c r="IQR57" s="232"/>
      <c r="IQS57" s="233"/>
      <c r="IQT57" s="233"/>
      <c r="IQU57" s="233"/>
      <c r="IQV57" s="233"/>
      <c r="IQW57" s="233"/>
      <c r="IQX57" s="233"/>
      <c r="IQY57" s="231"/>
      <c r="IQZ57" s="231"/>
      <c r="IRA57" s="229"/>
      <c r="IRB57" s="230"/>
      <c r="IRC57" s="231"/>
      <c r="IRD57" s="232"/>
      <c r="IRE57" s="233"/>
      <c r="IRF57" s="233"/>
      <c r="IRG57" s="233"/>
      <c r="IRH57" s="233"/>
      <c r="IRI57" s="233"/>
      <c r="IRJ57" s="233"/>
      <c r="IRK57" s="231"/>
      <c r="IRL57" s="231"/>
      <c r="IRM57" s="229"/>
      <c r="IRN57" s="230"/>
      <c r="IRO57" s="231"/>
      <c r="IRP57" s="232"/>
      <c r="IRQ57" s="233"/>
      <c r="IRR57" s="233"/>
      <c r="IRS57" s="233"/>
      <c r="IRT57" s="233"/>
      <c r="IRU57" s="233"/>
      <c r="IRV57" s="233"/>
      <c r="IRW57" s="231"/>
      <c r="IRX57" s="231"/>
      <c r="IRY57" s="229"/>
      <c r="IRZ57" s="230"/>
      <c r="ISA57" s="231"/>
      <c r="ISB57" s="232"/>
      <c r="ISC57" s="233"/>
      <c r="ISD57" s="233"/>
      <c r="ISE57" s="233"/>
      <c r="ISF57" s="233"/>
      <c r="ISG57" s="233"/>
      <c r="ISH57" s="233"/>
      <c r="ISI57" s="231"/>
      <c r="ISJ57" s="231"/>
      <c r="ISK57" s="229"/>
      <c r="ISL57" s="230"/>
      <c r="ISM57" s="231"/>
      <c r="ISN57" s="232"/>
      <c r="ISO57" s="233"/>
      <c r="ISP57" s="233"/>
      <c r="ISQ57" s="233"/>
      <c r="ISR57" s="233"/>
      <c r="ISS57" s="233"/>
      <c r="IST57" s="233"/>
      <c r="ISU57" s="231"/>
      <c r="ISV57" s="231"/>
      <c r="ISW57" s="229"/>
      <c r="ISX57" s="230"/>
      <c r="ISY57" s="231"/>
      <c r="ISZ57" s="232"/>
      <c r="ITA57" s="233"/>
      <c r="ITB57" s="233"/>
      <c r="ITC57" s="233"/>
      <c r="ITD57" s="233"/>
      <c r="ITE57" s="233"/>
      <c r="ITF57" s="233"/>
      <c r="ITG57" s="231"/>
      <c r="ITH57" s="231"/>
      <c r="ITI57" s="229"/>
      <c r="ITJ57" s="230"/>
      <c r="ITK57" s="231"/>
      <c r="ITL57" s="232"/>
      <c r="ITM57" s="233"/>
      <c r="ITN57" s="233"/>
      <c r="ITO57" s="233"/>
      <c r="ITP57" s="233"/>
      <c r="ITQ57" s="233"/>
      <c r="ITR57" s="233"/>
      <c r="ITS57" s="231"/>
      <c r="ITT57" s="231"/>
      <c r="ITU57" s="229"/>
      <c r="ITV57" s="230"/>
      <c r="ITW57" s="231"/>
      <c r="ITX57" s="232"/>
      <c r="ITY57" s="233"/>
      <c r="ITZ57" s="233"/>
      <c r="IUA57" s="233"/>
      <c r="IUB57" s="233"/>
      <c r="IUC57" s="233"/>
      <c r="IUD57" s="233"/>
      <c r="IUE57" s="231"/>
      <c r="IUF57" s="231"/>
      <c r="IUG57" s="229"/>
      <c r="IUH57" s="230"/>
      <c r="IUI57" s="231"/>
      <c r="IUJ57" s="232"/>
      <c r="IUK57" s="233"/>
      <c r="IUL57" s="233"/>
      <c r="IUM57" s="233"/>
      <c r="IUN57" s="233"/>
      <c r="IUO57" s="233"/>
      <c r="IUP57" s="233"/>
      <c r="IUQ57" s="231"/>
      <c r="IUR57" s="231"/>
      <c r="IUS57" s="229"/>
      <c r="IUT57" s="230"/>
      <c r="IUU57" s="231"/>
      <c r="IUV57" s="232"/>
      <c r="IUW57" s="233"/>
      <c r="IUX57" s="233"/>
      <c r="IUY57" s="233"/>
      <c r="IUZ57" s="233"/>
      <c r="IVA57" s="233"/>
      <c r="IVB57" s="233"/>
      <c r="IVC57" s="231"/>
      <c r="IVD57" s="231"/>
      <c r="IVE57" s="229"/>
      <c r="IVF57" s="230"/>
      <c r="IVG57" s="231"/>
      <c r="IVH57" s="232"/>
      <c r="IVI57" s="233"/>
      <c r="IVJ57" s="233"/>
      <c r="IVK57" s="233"/>
      <c r="IVL57" s="233"/>
      <c r="IVM57" s="233"/>
      <c r="IVN57" s="233"/>
      <c r="IVO57" s="231"/>
      <c r="IVP57" s="231"/>
      <c r="IVQ57" s="229"/>
      <c r="IVR57" s="230"/>
      <c r="IVS57" s="231"/>
      <c r="IVT57" s="232"/>
      <c r="IVU57" s="233"/>
      <c r="IVV57" s="233"/>
      <c r="IVW57" s="233"/>
      <c r="IVX57" s="233"/>
      <c r="IVY57" s="233"/>
      <c r="IVZ57" s="233"/>
      <c r="IWA57" s="231"/>
      <c r="IWB57" s="231"/>
      <c r="IWC57" s="229"/>
      <c r="IWD57" s="230"/>
      <c r="IWE57" s="231"/>
      <c r="IWF57" s="232"/>
      <c r="IWG57" s="233"/>
      <c r="IWH57" s="233"/>
      <c r="IWI57" s="233"/>
      <c r="IWJ57" s="233"/>
      <c r="IWK57" s="233"/>
      <c r="IWL57" s="233"/>
      <c r="IWM57" s="231"/>
      <c r="IWN57" s="231"/>
      <c r="IWO57" s="229"/>
      <c r="IWP57" s="230"/>
      <c r="IWQ57" s="231"/>
      <c r="IWR57" s="232"/>
      <c r="IWS57" s="233"/>
      <c r="IWT57" s="233"/>
      <c r="IWU57" s="233"/>
      <c r="IWV57" s="233"/>
      <c r="IWW57" s="233"/>
      <c r="IWX57" s="233"/>
      <c r="IWY57" s="231"/>
      <c r="IWZ57" s="231"/>
      <c r="IXA57" s="229"/>
      <c r="IXB57" s="230"/>
      <c r="IXC57" s="231"/>
      <c r="IXD57" s="232"/>
      <c r="IXE57" s="233"/>
      <c r="IXF57" s="233"/>
      <c r="IXG57" s="233"/>
      <c r="IXH57" s="233"/>
      <c r="IXI57" s="233"/>
      <c r="IXJ57" s="233"/>
      <c r="IXK57" s="231"/>
      <c r="IXL57" s="231"/>
      <c r="IXM57" s="229"/>
      <c r="IXN57" s="230"/>
      <c r="IXO57" s="231"/>
      <c r="IXP57" s="232"/>
      <c r="IXQ57" s="233"/>
      <c r="IXR57" s="233"/>
      <c r="IXS57" s="233"/>
      <c r="IXT57" s="233"/>
      <c r="IXU57" s="233"/>
      <c r="IXV57" s="233"/>
      <c r="IXW57" s="231"/>
      <c r="IXX57" s="231"/>
      <c r="IXY57" s="229"/>
      <c r="IXZ57" s="230"/>
      <c r="IYA57" s="231"/>
      <c r="IYB57" s="232"/>
      <c r="IYC57" s="233"/>
      <c r="IYD57" s="233"/>
      <c r="IYE57" s="233"/>
      <c r="IYF57" s="233"/>
      <c r="IYG57" s="233"/>
      <c r="IYH57" s="233"/>
      <c r="IYI57" s="231"/>
      <c r="IYJ57" s="231"/>
      <c r="IYK57" s="229"/>
      <c r="IYL57" s="230"/>
      <c r="IYM57" s="231"/>
      <c r="IYN57" s="232"/>
      <c r="IYO57" s="233"/>
      <c r="IYP57" s="233"/>
      <c r="IYQ57" s="233"/>
      <c r="IYR57" s="233"/>
      <c r="IYS57" s="233"/>
      <c r="IYT57" s="233"/>
      <c r="IYU57" s="231"/>
      <c r="IYV57" s="231"/>
      <c r="IYW57" s="229"/>
      <c r="IYX57" s="230"/>
      <c r="IYY57" s="231"/>
      <c r="IYZ57" s="232"/>
      <c r="IZA57" s="233"/>
      <c r="IZB57" s="233"/>
      <c r="IZC57" s="233"/>
      <c r="IZD57" s="233"/>
      <c r="IZE57" s="233"/>
      <c r="IZF57" s="233"/>
      <c r="IZG57" s="231"/>
      <c r="IZH57" s="231"/>
      <c r="IZI57" s="229"/>
      <c r="IZJ57" s="230"/>
      <c r="IZK57" s="231"/>
      <c r="IZL57" s="232"/>
      <c r="IZM57" s="233"/>
      <c r="IZN57" s="233"/>
      <c r="IZO57" s="233"/>
      <c r="IZP57" s="233"/>
      <c r="IZQ57" s="233"/>
      <c r="IZR57" s="233"/>
      <c r="IZS57" s="231"/>
      <c r="IZT57" s="231"/>
      <c r="IZU57" s="229"/>
      <c r="IZV57" s="230"/>
      <c r="IZW57" s="231"/>
      <c r="IZX57" s="232"/>
      <c r="IZY57" s="233"/>
      <c r="IZZ57" s="233"/>
      <c r="JAA57" s="233"/>
      <c r="JAB57" s="233"/>
      <c r="JAC57" s="233"/>
      <c r="JAD57" s="233"/>
      <c r="JAE57" s="231"/>
      <c r="JAF57" s="231"/>
      <c r="JAG57" s="229"/>
      <c r="JAH57" s="230"/>
      <c r="JAI57" s="231"/>
      <c r="JAJ57" s="232"/>
      <c r="JAK57" s="233"/>
      <c r="JAL57" s="233"/>
      <c r="JAM57" s="233"/>
      <c r="JAN57" s="233"/>
      <c r="JAO57" s="233"/>
      <c r="JAP57" s="233"/>
      <c r="JAQ57" s="231"/>
      <c r="JAR57" s="231"/>
      <c r="JAS57" s="229"/>
      <c r="JAT57" s="230"/>
      <c r="JAU57" s="231"/>
      <c r="JAV57" s="232"/>
      <c r="JAW57" s="233"/>
      <c r="JAX57" s="233"/>
      <c r="JAY57" s="233"/>
      <c r="JAZ57" s="233"/>
      <c r="JBA57" s="233"/>
      <c r="JBB57" s="233"/>
      <c r="JBC57" s="231"/>
      <c r="JBD57" s="231"/>
      <c r="JBE57" s="229"/>
      <c r="JBF57" s="230"/>
      <c r="JBG57" s="231"/>
      <c r="JBH57" s="232"/>
      <c r="JBI57" s="233"/>
      <c r="JBJ57" s="233"/>
      <c r="JBK57" s="233"/>
      <c r="JBL57" s="233"/>
      <c r="JBM57" s="233"/>
      <c r="JBN57" s="233"/>
      <c r="JBO57" s="231"/>
      <c r="JBP57" s="231"/>
      <c r="JBQ57" s="229"/>
      <c r="JBR57" s="230"/>
      <c r="JBS57" s="231"/>
      <c r="JBT57" s="232"/>
      <c r="JBU57" s="233"/>
      <c r="JBV57" s="233"/>
      <c r="JBW57" s="233"/>
      <c r="JBX57" s="233"/>
      <c r="JBY57" s="233"/>
      <c r="JBZ57" s="233"/>
      <c r="JCA57" s="231"/>
      <c r="JCB57" s="231"/>
      <c r="JCC57" s="229"/>
      <c r="JCD57" s="230"/>
      <c r="JCE57" s="231"/>
      <c r="JCF57" s="232"/>
      <c r="JCG57" s="233"/>
      <c r="JCH57" s="233"/>
      <c r="JCI57" s="233"/>
      <c r="JCJ57" s="233"/>
      <c r="JCK57" s="233"/>
      <c r="JCL57" s="233"/>
      <c r="JCM57" s="231"/>
      <c r="JCN57" s="231"/>
      <c r="JCO57" s="229"/>
      <c r="JCP57" s="230"/>
      <c r="JCQ57" s="231"/>
      <c r="JCR57" s="232"/>
      <c r="JCS57" s="233"/>
      <c r="JCT57" s="233"/>
      <c r="JCU57" s="233"/>
      <c r="JCV57" s="233"/>
      <c r="JCW57" s="233"/>
      <c r="JCX57" s="233"/>
      <c r="JCY57" s="231"/>
      <c r="JCZ57" s="231"/>
      <c r="JDA57" s="229"/>
      <c r="JDB57" s="230"/>
      <c r="JDC57" s="231"/>
      <c r="JDD57" s="232"/>
      <c r="JDE57" s="233"/>
      <c r="JDF57" s="233"/>
      <c r="JDG57" s="233"/>
      <c r="JDH57" s="233"/>
      <c r="JDI57" s="233"/>
      <c r="JDJ57" s="233"/>
      <c r="JDK57" s="231"/>
      <c r="JDL57" s="231"/>
      <c r="JDM57" s="229"/>
      <c r="JDN57" s="230"/>
      <c r="JDO57" s="231"/>
      <c r="JDP57" s="232"/>
      <c r="JDQ57" s="233"/>
      <c r="JDR57" s="233"/>
      <c r="JDS57" s="233"/>
      <c r="JDT57" s="233"/>
      <c r="JDU57" s="233"/>
      <c r="JDV57" s="233"/>
      <c r="JDW57" s="231"/>
      <c r="JDX57" s="231"/>
      <c r="JDY57" s="229"/>
      <c r="JDZ57" s="230"/>
      <c r="JEA57" s="231"/>
      <c r="JEB57" s="232"/>
      <c r="JEC57" s="233"/>
      <c r="JED57" s="233"/>
      <c r="JEE57" s="233"/>
      <c r="JEF57" s="233"/>
      <c r="JEG57" s="233"/>
      <c r="JEH57" s="233"/>
      <c r="JEI57" s="231"/>
      <c r="JEJ57" s="231"/>
      <c r="JEK57" s="229"/>
      <c r="JEL57" s="230"/>
      <c r="JEM57" s="231"/>
      <c r="JEN57" s="232"/>
      <c r="JEO57" s="233"/>
      <c r="JEP57" s="233"/>
      <c r="JEQ57" s="233"/>
      <c r="JER57" s="233"/>
      <c r="JES57" s="233"/>
      <c r="JET57" s="233"/>
      <c r="JEU57" s="231"/>
      <c r="JEV57" s="231"/>
      <c r="JEW57" s="229"/>
      <c r="JEX57" s="230"/>
      <c r="JEY57" s="231"/>
      <c r="JEZ57" s="232"/>
      <c r="JFA57" s="233"/>
      <c r="JFB57" s="233"/>
      <c r="JFC57" s="233"/>
      <c r="JFD57" s="233"/>
      <c r="JFE57" s="233"/>
      <c r="JFF57" s="233"/>
      <c r="JFG57" s="231"/>
      <c r="JFH57" s="231"/>
      <c r="JFI57" s="229"/>
      <c r="JFJ57" s="230"/>
      <c r="JFK57" s="231"/>
      <c r="JFL57" s="232"/>
      <c r="JFM57" s="233"/>
      <c r="JFN57" s="233"/>
      <c r="JFO57" s="233"/>
      <c r="JFP57" s="233"/>
      <c r="JFQ57" s="233"/>
      <c r="JFR57" s="233"/>
      <c r="JFS57" s="231"/>
      <c r="JFT57" s="231"/>
      <c r="JFU57" s="229"/>
      <c r="JFV57" s="230"/>
      <c r="JFW57" s="231"/>
      <c r="JFX57" s="232"/>
      <c r="JFY57" s="233"/>
      <c r="JFZ57" s="233"/>
      <c r="JGA57" s="233"/>
      <c r="JGB57" s="233"/>
      <c r="JGC57" s="233"/>
      <c r="JGD57" s="233"/>
      <c r="JGE57" s="231"/>
      <c r="JGF57" s="231"/>
      <c r="JGG57" s="229"/>
      <c r="JGH57" s="230"/>
      <c r="JGI57" s="231"/>
      <c r="JGJ57" s="232"/>
      <c r="JGK57" s="233"/>
      <c r="JGL57" s="233"/>
      <c r="JGM57" s="233"/>
      <c r="JGN57" s="233"/>
      <c r="JGO57" s="233"/>
      <c r="JGP57" s="233"/>
      <c r="JGQ57" s="231"/>
      <c r="JGR57" s="231"/>
      <c r="JGS57" s="229"/>
      <c r="JGT57" s="230"/>
      <c r="JGU57" s="231"/>
      <c r="JGV57" s="232"/>
      <c r="JGW57" s="233"/>
      <c r="JGX57" s="233"/>
      <c r="JGY57" s="233"/>
      <c r="JGZ57" s="233"/>
      <c r="JHA57" s="233"/>
      <c r="JHB57" s="233"/>
      <c r="JHC57" s="231"/>
      <c r="JHD57" s="231"/>
      <c r="JHE57" s="229"/>
      <c r="JHF57" s="230"/>
      <c r="JHG57" s="231"/>
      <c r="JHH57" s="232"/>
      <c r="JHI57" s="233"/>
      <c r="JHJ57" s="233"/>
      <c r="JHK57" s="233"/>
      <c r="JHL57" s="233"/>
      <c r="JHM57" s="233"/>
      <c r="JHN57" s="233"/>
      <c r="JHO57" s="231"/>
      <c r="JHP57" s="231"/>
      <c r="JHQ57" s="229"/>
      <c r="JHR57" s="230"/>
      <c r="JHS57" s="231"/>
      <c r="JHT57" s="232"/>
      <c r="JHU57" s="233"/>
      <c r="JHV57" s="233"/>
      <c r="JHW57" s="233"/>
      <c r="JHX57" s="233"/>
      <c r="JHY57" s="233"/>
      <c r="JHZ57" s="233"/>
      <c r="JIA57" s="231"/>
      <c r="JIB57" s="231"/>
      <c r="JIC57" s="229"/>
      <c r="JID57" s="230"/>
      <c r="JIE57" s="231"/>
      <c r="JIF57" s="232"/>
      <c r="JIG57" s="233"/>
      <c r="JIH57" s="233"/>
      <c r="JII57" s="233"/>
      <c r="JIJ57" s="233"/>
      <c r="JIK57" s="233"/>
      <c r="JIL57" s="233"/>
      <c r="JIM57" s="231"/>
      <c r="JIN57" s="231"/>
      <c r="JIO57" s="229"/>
      <c r="JIP57" s="230"/>
      <c r="JIQ57" s="231"/>
      <c r="JIR57" s="232"/>
      <c r="JIS57" s="233"/>
      <c r="JIT57" s="233"/>
      <c r="JIU57" s="233"/>
      <c r="JIV57" s="233"/>
      <c r="JIW57" s="233"/>
      <c r="JIX57" s="233"/>
      <c r="JIY57" s="231"/>
      <c r="JIZ57" s="231"/>
      <c r="JJA57" s="229"/>
      <c r="JJB57" s="230"/>
      <c r="JJC57" s="231"/>
      <c r="JJD57" s="232"/>
      <c r="JJE57" s="233"/>
      <c r="JJF57" s="233"/>
      <c r="JJG57" s="233"/>
      <c r="JJH57" s="233"/>
      <c r="JJI57" s="233"/>
      <c r="JJJ57" s="233"/>
      <c r="JJK57" s="231"/>
      <c r="JJL57" s="231"/>
      <c r="JJM57" s="229"/>
      <c r="JJN57" s="230"/>
      <c r="JJO57" s="231"/>
      <c r="JJP57" s="232"/>
      <c r="JJQ57" s="233"/>
      <c r="JJR57" s="233"/>
      <c r="JJS57" s="233"/>
      <c r="JJT57" s="233"/>
      <c r="JJU57" s="233"/>
      <c r="JJV57" s="233"/>
      <c r="JJW57" s="231"/>
      <c r="JJX57" s="231"/>
      <c r="JJY57" s="229"/>
      <c r="JJZ57" s="230"/>
      <c r="JKA57" s="231"/>
      <c r="JKB57" s="232"/>
      <c r="JKC57" s="233"/>
      <c r="JKD57" s="233"/>
      <c r="JKE57" s="233"/>
      <c r="JKF57" s="233"/>
      <c r="JKG57" s="233"/>
      <c r="JKH57" s="233"/>
      <c r="JKI57" s="231"/>
      <c r="JKJ57" s="231"/>
      <c r="JKK57" s="229"/>
      <c r="JKL57" s="230"/>
      <c r="JKM57" s="231"/>
      <c r="JKN57" s="232"/>
      <c r="JKO57" s="233"/>
      <c r="JKP57" s="233"/>
      <c r="JKQ57" s="233"/>
      <c r="JKR57" s="233"/>
      <c r="JKS57" s="233"/>
      <c r="JKT57" s="233"/>
      <c r="JKU57" s="231"/>
      <c r="JKV57" s="231"/>
      <c r="JKW57" s="229"/>
      <c r="JKX57" s="230"/>
      <c r="JKY57" s="231"/>
      <c r="JKZ57" s="232"/>
      <c r="JLA57" s="233"/>
      <c r="JLB57" s="233"/>
      <c r="JLC57" s="233"/>
      <c r="JLD57" s="233"/>
      <c r="JLE57" s="233"/>
      <c r="JLF57" s="233"/>
      <c r="JLG57" s="231"/>
      <c r="JLH57" s="231"/>
      <c r="JLI57" s="229"/>
      <c r="JLJ57" s="230"/>
      <c r="JLK57" s="231"/>
      <c r="JLL57" s="232"/>
      <c r="JLM57" s="233"/>
      <c r="JLN57" s="233"/>
      <c r="JLO57" s="233"/>
      <c r="JLP57" s="233"/>
      <c r="JLQ57" s="233"/>
      <c r="JLR57" s="233"/>
      <c r="JLS57" s="231"/>
      <c r="JLT57" s="231"/>
      <c r="JLU57" s="229"/>
      <c r="JLV57" s="230"/>
      <c r="JLW57" s="231"/>
      <c r="JLX57" s="232"/>
      <c r="JLY57" s="233"/>
      <c r="JLZ57" s="233"/>
      <c r="JMA57" s="233"/>
      <c r="JMB57" s="233"/>
      <c r="JMC57" s="233"/>
      <c r="JMD57" s="233"/>
      <c r="JME57" s="231"/>
      <c r="JMF57" s="231"/>
      <c r="JMG57" s="229"/>
      <c r="JMH57" s="230"/>
      <c r="JMI57" s="231"/>
      <c r="JMJ57" s="232"/>
      <c r="JMK57" s="233"/>
      <c r="JML57" s="233"/>
      <c r="JMM57" s="233"/>
      <c r="JMN57" s="233"/>
      <c r="JMO57" s="233"/>
      <c r="JMP57" s="233"/>
      <c r="JMQ57" s="231"/>
      <c r="JMR57" s="231"/>
      <c r="JMS57" s="229"/>
      <c r="JMT57" s="230"/>
      <c r="JMU57" s="231"/>
      <c r="JMV57" s="232"/>
      <c r="JMW57" s="233"/>
      <c r="JMX57" s="233"/>
      <c r="JMY57" s="233"/>
      <c r="JMZ57" s="233"/>
      <c r="JNA57" s="233"/>
      <c r="JNB57" s="233"/>
      <c r="JNC57" s="231"/>
      <c r="JND57" s="231"/>
      <c r="JNE57" s="229"/>
      <c r="JNF57" s="230"/>
      <c r="JNG57" s="231"/>
      <c r="JNH57" s="232"/>
      <c r="JNI57" s="233"/>
      <c r="JNJ57" s="233"/>
      <c r="JNK57" s="233"/>
      <c r="JNL57" s="233"/>
      <c r="JNM57" s="233"/>
      <c r="JNN57" s="233"/>
      <c r="JNO57" s="231"/>
      <c r="JNP57" s="231"/>
      <c r="JNQ57" s="229"/>
      <c r="JNR57" s="230"/>
      <c r="JNS57" s="231"/>
      <c r="JNT57" s="232"/>
      <c r="JNU57" s="233"/>
      <c r="JNV57" s="233"/>
      <c r="JNW57" s="233"/>
      <c r="JNX57" s="233"/>
      <c r="JNY57" s="233"/>
      <c r="JNZ57" s="233"/>
      <c r="JOA57" s="231"/>
      <c r="JOB57" s="231"/>
      <c r="JOC57" s="229"/>
      <c r="JOD57" s="230"/>
      <c r="JOE57" s="231"/>
      <c r="JOF57" s="232"/>
      <c r="JOG57" s="233"/>
      <c r="JOH57" s="233"/>
      <c r="JOI57" s="233"/>
      <c r="JOJ57" s="233"/>
      <c r="JOK57" s="233"/>
      <c r="JOL57" s="233"/>
      <c r="JOM57" s="231"/>
      <c r="JON57" s="231"/>
      <c r="JOO57" s="229"/>
      <c r="JOP57" s="230"/>
      <c r="JOQ57" s="231"/>
      <c r="JOR57" s="232"/>
      <c r="JOS57" s="233"/>
      <c r="JOT57" s="233"/>
      <c r="JOU57" s="233"/>
      <c r="JOV57" s="233"/>
      <c r="JOW57" s="233"/>
      <c r="JOX57" s="233"/>
      <c r="JOY57" s="231"/>
      <c r="JOZ57" s="231"/>
      <c r="JPA57" s="229"/>
      <c r="JPB57" s="230"/>
      <c r="JPC57" s="231"/>
      <c r="JPD57" s="232"/>
      <c r="JPE57" s="233"/>
      <c r="JPF57" s="233"/>
      <c r="JPG57" s="233"/>
      <c r="JPH57" s="233"/>
      <c r="JPI57" s="233"/>
      <c r="JPJ57" s="233"/>
      <c r="JPK57" s="231"/>
      <c r="JPL57" s="231"/>
      <c r="JPM57" s="229"/>
      <c r="JPN57" s="230"/>
      <c r="JPO57" s="231"/>
      <c r="JPP57" s="232"/>
      <c r="JPQ57" s="233"/>
      <c r="JPR57" s="233"/>
      <c r="JPS57" s="233"/>
      <c r="JPT57" s="233"/>
      <c r="JPU57" s="233"/>
      <c r="JPV57" s="233"/>
      <c r="JPW57" s="231"/>
      <c r="JPX57" s="231"/>
      <c r="JPY57" s="229"/>
      <c r="JPZ57" s="230"/>
      <c r="JQA57" s="231"/>
      <c r="JQB57" s="232"/>
      <c r="JQC57" s="233"/>
      <c r="JQD57" s="233"/>
      <c r="JQE57" s="233"/>
      <c r="JQF57" s="233"/>
      <c r="JQG57" s="233"/>
      <c r="JQH57" s="233"/>
      <c r="JQI57" s="231"/>
      <c r="JQJ57" s="231"/>
      <c r="JQK57" s="229"/>
      <c r="JQL57" s="230"/>
      <c r="JQM57" s="231"/>
      <c r="JQN57" s="232"/>
      <c r="JQO57" s="233"/>
      <c r="JQP57" s="233"/>
      <c r="JQQ57" s="233"/>
      <c r="JQR57" s="233"/>
      <c r="JQS57" s="233"/>
      <c r="JQT57" s="233"/>
      <c r="JQU57" s="231"/>
      <c r="JQV57" s="231"/>
      <c r="JQW57" s="229"/>
      <c r="JQX57" s="230"/>
      <c r="JQY57" s="231"/>
      <c r="JQZ57" s="232"/>
      <c r="JRA57" s="233"/>
      <c r="JRB57" s="233"/>
      <c r="JRC57" s="233"/>
      <c r="JRD57" s="233"/>
      <c r="JRE57" s="233"/>
      <c r="JRF57" s="233"/>
      <c r="JRG57" s="231"/>
      <c r="JRH57" s="231"/>
      <c r="JRI57" s="229"/>
      <c r="JRJ57" s="230"/>
      <c r="JRK57" s="231"/>
      <c r="JRL57" s="232"/>
      <c r="JRM57" s="233"/>
      <c r="JRN57" s="233"/>
      <c r="JRO57" s="233"/>
      <c r="JRP57" s="233"/>
      <c r="JRQ57" s="233"/>
      <c r="JRR57" s="233"/>
      <c r="JRS57" s="231"/>
      <c r="JRT57" s="231"/>
      <c r="JRU57" s="229"/>
      <c r="JRV57" s="230"/>
      <c r="JRW57" s="231"/>
      <c r="JRX57" s="232"/>
      <c r="JRY57" s="233"/>
      <c r="JRZ57" s="233"/>
      <c r="JSA57" s="233"/>
      <c r="JSB57" s="233"/>
      <c r="JSC57" s="233"/>
      <c r="JSD57" s="233"/>
      <c r="JSE57" s="231"/>
      <c r="JSF57" s="231"/>
      <c r="JSG57" s="229"/>
      <c r="JSH57" s="230"/>
      <c r="JSI57" s="231"/>
      <c r="JSJ57" s="232"/>
      <c r="JSK57" s="233"/>
      <c r="JSL57" s="233"/>
      <c r="JSM57" s="233"/>
      <c r="JSN57" s="233"/>
      <c r="JSO57" s="233"/>
      <c r="JSP57" s="233"/>
      <c r="JSQ57" s="231"/>
      <c r="JSR57" s="231"/>
      <c r="JSS57" s="229"/>
      <c r="JST57" s="230"/>
      <c r="JSU57" s="231"/>
      <c r="JSV57" s="232"/>
      <c r="JSW57" s="233"/>
      <c r="JSX57" s="233"/>
      <c r="JSY57" s="233"/>
      <c r="JSZ57" s="233"/>
      <c r="JTA57" s="233"/>
      <c r="JTB57" s="233"/>
      <c r="JTC57" s="231"/>
      <c r="JTD57" s="231"/>
      <c r="JTE57" s="229"/>
      <c r="JTF57" s="230"/>
      <c r="JTG57" s="231"/>
      <c r="JTH57" s="232"/>
      <c r="JTI57" s="233"/>
      <c r="JTJ57" s="233"/>
      <c r="JTK57" s="233"/>
      <c r="JTL57" s="233"/>
      <c r="JTM57" s="233"/>
      <c r="JTN57" s="233"/>
      <c r="JTO57" s="231"/>
      <c r="JTP57" s="231"/>
      <c r="JTQ57" s="229"/>
      <c r="JTR57" s="230"/>
      <c r="JTS57" s="231"/>
      <c r="JTT57" s="232"/>
      <c r="JTU57" s="233"/>
      <c r="JTV57" s="233"/>
      <c r="JTW57" s="233"/>
      <c r="JTX57" s="233"/>
      <c r="JTY57" s="233"/>
      <c r="JTZ57" s="233"/>
      <c r="JUA57" s="231"/>
      <c r="JUB57" s="231"/>
      <c r="JUC57" s="229"/>
      <c r="JUD57" s="230"/>
      <c r="JUE57" s="231"/>
      <c r="JUF57" s="232"/>
      <c r="JUG57" s="233"/>
      <c r="JUH57" s="233"/>
      <c r="JUI57" s="233"/>
      <c r="JUJ57" s="233"/>
      <c r="JUK57" s="233"/>
      <c r="JUL57" s="233"/>
      <c r="JUM57" s="231"/>
      <c r="JUN57" s="231"/>
      <c r="JUO57" s="229"/>
      <c r="JUP57" s="230"/>
      <c r="JUQ57" s="231"/>
      <c r="JUR57" s="232"/>
      <c r="JUS57" s="233"/>
      <c r="JUT57" s="233"/>
      <c r="JUU57" s="233"/>
      <c r="JUV57" s="233"/>
      <c r="JUW57" s="233"/>
      <c r="JUX57" s="233"/>
      <c r="JUY57" s="231"/>
      <c r="JUZ57" s="231"/>
      <c r="JVA57" s="229"/>
      <c r="JVB57" s="230"/>
      <c r="JVC57" s="231"/>
      <c r="JVD57" s="232"/>
      <c r="JVE57" s="233"/>
      <c r="JVF57" s="233"/>
      <c r="JVG57" s="233"/>
      <c r="JVH57" s="233"/>
      <c r="JVI57" s="233"/>
      <c r="JVJ57" s="233"/>
      <c r="JVK57" s="231"/>
      <c r="JVL57" s="231"/>
      <c r="JVM57" s="229"/>
      <c r="JVN57" s="230"/>
      <c r="JVO57" s="231"/>
      <c r="JVP57" s="232"/>
      <c r="JVQ57" s="233"/>
      <c r="JVR57" s="233"/>
      <c r="JVS57" s="233"/>
      <c r="JVT57" s="233"/>
      <c r="JVU57" s="233"/>
      <c r="JVV57" s="233"/>
      <c r="JVW57" s="231"/>
      <c r="JVX57" s="231"/>
      <c r="JVY57" s="229"/>
      <c r="JVZ57" s="230"/>
      <c r="JWA57" s="231"/>
      <c r="JWB57" s="232"/>
      <c r="JWC57" s="233"/>
      <c r="JWD57" s="233"/>
      <c r="JWE57" s="233"/>
      <c r="JWF57" s="233"/>
      <c r="JWG57" s="233"/>
      <c r="JWH57" s="233"/>
      <c r="JWI57" s="231"/>
      <c r="JWJ57" s="231"/>
      <c r="JWK57" s="229"/>
      <c r="JWL57" s="230"/>
      <c r="JWM57" s="231"/>
      <c r="JWN57" s="232"/>
      <c r="JWO57" s="233"/>
      <c r="JWP57" s="233"/>
      <c r="JWQ57" s="233"/>
      <c r="JWR57" s="233"/>
      <c r="JWS57" s="233"/>
      <c r="JWT57" s="233"/>
      <c r="JWU57" s="231"/>
      <c r="JWV57" s="231"/>
      <c r="JWW57" s="229"/>
      <c r="JWX57" s="230"/>
      <c r="JWY57" s="231"/>
      <c r="JWZ57" s="232"/>
      <c r="JXA57" s="233"/>
      <c r="JXB57" s="233"/>
      <c r="JXC57" s="233"/>
      <c r="JXD57" s="233"/>
      <c r="JXE57" s="233"/>
      <c r="JXF57" s="233"/>
      <c r="JXG57" s="231"/>
      <c r="JXH57" s="231"/>
      <c r="JXI57" s="229"/>
      <c r="JXJ57" s="230"/>
      <c r="JXK57" s="231"/>
      <c r="JXL57" s="232"/>
      <c r="JXM57" s="233"/>
      <c r="JXN57" s="233"/>
      <c r="JXO57" s="233"/>
      <c r="JXP57" s="233"/>
      <c r="JXQ57" s="233"/>
      <c r="JXR57" s="233"/>
      <c r="JXS57" s="231"/>
      <c r="JXT57" s="231"/>
      <c r="JXU57" s="229"/>
      <c r="JXV57" s="230"/>
      <c r="JXW57" s="231"/>
      <c r="JXX57" s="232"/>
      <c r="JXY57" s="233"/>
      <c r="JXZ57" s="233"/>
      <c r="JYA57" s="233"/>
      <c r="JYB57" s="233"/>
      <c r="JYC57" s="233"/>
      <c r="JYD57" s="233"/>
      <c r="JYE57" s="231"/>
      <c r="JYF57" s="231"/>
      <c r="JYG57" s="229"/>
      <c r="JYH57" s="230"/>
      <c r="JYI57" s="231"/>
      <c r="JYJ57" s="232"/>
      <c r="JYK57" s="233"/>
      <c r="JYL57" s="233"/>
      <c r="JYM57" s="233"/>
      <c r="JYN57" s="233"/>
      <c r="JYO57" s="233"/>
      <c r="JYP57" s="233"/>
      <c r="JYQ57" s="231"/>
      <c r="JYR57" s="231"/>
      <c r="JYS57" s="229"/>
      <c r="JYT57" s="230"/>
      <c r="JYU57" s="231"/>
      <c r="JYV57" s="232"/>
      <c r="JYW57" s="233"/>
      <c r="JYX57" s="233"/>
      <c r="JYY57" s="233"/>
      <c r="JYZ57" s="233"/>
      <c r="JZA57" s="233"/>
      <c r="JZB57" s="233"/>
      <c r="JZC57" s="231"/>
      <c r="JZD57" s="231"/>
      <c r="JZE57" s="229"/>
      <c r="JZF57" s="230"/>
      <c r="JZG57" s="231"/>
      <c r="JZH57" s="232"/>
      <c r="JZI57" s="233"/>
      <c r="JZJ57" s="233"/>
      <c r="JZK57" s="233"/>
      <c r="JZL57" s="233"/>
      <c r="JZM57" s="233"/>
      <c r="JZN57" s="233"/>
      <c r="JZO57" s="231"/>
      <c r="JZP57" s="231"/>
      <c r="JZQ57" s="229"/>
      <c r="JZR57" s="230"/>
      <c r="JZS57" s="231"/>
      <c r="JZT57" s="232"/>
      <c r="JZU57" s="233"/>
      <c r="JZV57" s="233"/>
      <c r="JZW57" s="233"/>
      <c r="JZX57" s="233"/>
      <c r="JZY57" s="233"/>
      <c r="JZZ57" s="233"/>
      <c r="KAA57" s="231"/>
      <c r="KAB57" s="231"/>
      <c r="KAC57" s="229"/>
      <c r="KAD57" s="230"/>
      <c r="KAE57" s="231"/>
      <c r="KAF57" s="232"/>
      <c r="KAG57" s="233"/>
      <c r="KAH57" s="233"/>
      <c r="KAI57" s="233"/>
      <c r="KAJ57" s="233"/>
      <c r="KAK57" s="233"/>
      <c r="KAL57" s="233"/>
      <c r="KAM57" s="231"/>
      <c r="KAN57" s="231"/>
      <c r="KAO57" s="229"/>
      <c r="KAP57" s="230"/>
      <c r="KAQ57" s="231"/>
      <c r="KAR57" s="232"/>
      <c r="KAS57" s="233"/>
      <c r="KAT57" s="233"/>
      <c r="KAU57" s="233"/>
      <c r="KAV57" s="233"/>
      <c r="KAW57" s="233"/>
      <c r="KAX57" s="233"/>
      <c r="KAY57" s="231"/>
      <c r="KAZ57" s="231"/>
      <c r="KBA57" s="229"/>
      <c r="KBB57" s="230"/>
      <c r="KBC57" s="231"/>
      <c r="KBD57" s="232"/>
      <c r="KBE57" s="233"/>
      <c r="KBF57" s="233"/>
      <c r="KBG57" s="233"/>
      <c r="KBH57" s="233"/>
      <c r="KBI57" s="233"/>
      <c r="KBJ57" s="233"/>
      <c r="KBK57" s="231"/>
      <c r="KBL57" s="231"/>
      <c r="KBM57" s="229"/>
      <c r="KBN57" s="230"/>
      <c r="KBO57" s="231"/>
      <c r="KBP57" s="232"/>
      <c r="KBQ57" s="233"/>
      <c r="KBR57" s="233"/>
      <c r="KBS57" s="233"/>
      <c r="KBT57" s="233"/>
      <c r="KBU57" s="233"/>
      <c r="KBV57" s="233"/>
      <c r="KBW57" s="231"/>
      <c r="KBX57" s="231"/>
      <c r="KBY57" s="229"/>
      <c r="KBZ57" s="230"/>
      <c r="KCA57" s="231"/>
      <c r="KCB57" s="232"/>
      <c r="KCC57" s="233"/>
      <c r="KCD57" s="233"/>
      <c r="KCE57" s="233"/>
      <c r="KCF57" s="233"/>
      <c r="KCG57" s="233"/>
      <c r="KCH57" s="233"/>
      <c r="KCI57" s="231"/>
      <c r="KCJ57" s="231"/>
      <c r="KCK57" s="229"/>
      <c r="KCL57" s="230"/>
      <c r="KCM57" s="231"/>
      <c r="KCN57" s="232"/>
      <c r="KCO57" s="233"/>
      <c r="KCP57" s="233"/>
      <c r="KCQ57" s="233"/>
      <c r="KCR57" s="233"/>
      <c r="KCS57" s="233"/>
      <c r="KCT57" s="233"/>
      <c r="KCU57" s="231"/>
      <c r="KCV57" s="231"/>
      <c r="KCW57" s="229"/>
      <c r="KCX57" s="230"/>
      <c r="KCY57" s="231"/>
      <c r="KCZ57" s="232"/>
      <c r="KDA57" s="233"/>
      <c r="KDB57" s="233"/>
      <c r="KDC57" s="233"/>
      <c r="KDD57" s="233"/>
      <c r="KDE57" s="233"/>
      <c r="KDF57" s="233"/>
      <c r="KDG57" s="231"/>
      <c r="KDH57" s="231"/>
      <c r="KDI57" s="229"/>
      <c r="KDJ57" s="230"/>
      <c r="KDK57" s="231"/>
      <c r="KDL57" s="232"/>
      <c r="KDM57" s="233"/>
      <c r="KDN57" s="233"/>
      <c r="KDO57" s="233"/>
      <c r="KDP57" s="233"/>
      <c r="KDQ57" s="233"/>
      <c r="KDR57" s="233"/>
      <c r="KDS57" s="231"/>
      <c r="KDT57" s="231"/>
      <c r="KDU57" s="229"/>
      <c r="KDV57" s="230"/>
      <c r="KDW57" s="231"/>
      <c r="KDX57" s="232"/>
      <c r="KDY57" s="233"/>
      <c r="KDZ57" s="233"/>
      <c r="KEA57" s="233"/>
      <c r="KEB57" s="233"/>
      <c r="KEC57" s="233"/>
      <c r="KED57" s="233"/>
      <c r="KEE57" s="231"/>
      <c r="KEF57" s="231"/>
      <c r="KEG57" s="229"/>
      <c r="KEH57" s="230"/>
      <c r="KEI57" s="231"/>
      <c r="KEJ57" s="232"/>
      <c r="KEK57" s="233"/>
      <c r="KEL57" s="233"/>
      <c r="KEM57" s="233"/>
      <c r="KEN57" s="233"/>
      <c r="KEO57" s="233"/>
      <c r="KEP57" s="233"/>
      <c r="KEQ57" s="231"/>
      <c r="KER57" s="231"/>
      <c r="KES57" s="229"/>
      <c r="KET57" s="230"/>
      <c r="KEU57" s="231"/>
      <c r="KEV57" s="232"/>
      <c r="KEW57" s="233"/>
      <c r="KEX57" s="233"/>
      <c r="KEY57" s="233"/>
      <c r="KEZ57" s="233"/>
      <c r="KFA57" s="233"/>
      <c r="KFB57" s="233"/>
      <c r="KFC57" s="231"/>
      <c r="KFD57" s="231"/>
      <c r="KFE57" s="229"/>
      <c r="KFF57" s="230"/>
      <c r="KFG57" s="231"/>
      <c r="KFH57" s="232"/>
      <c r="KFI57" s="233"/>
      <c r="KFJ57" s="233"/>
      <c r="KFK57" s="233"/>
      <c r="KFL57" s="233"/>
      <c r="KFM57" s="233"/>
      <c r="KFN57" s="233"/>
      <c r="KFO57" s="231"/>
      <c r="KFP57" s="231"/>
      <c r="KFQ57" s="229"/>
      <c r="KFR57" s="230"/>
      <c r="KFS57" s="231"/>
      <c r="KFT57" s="232"/>
      <c r="KFU57" s="233"/>
      <c r="KFV57" s="233"/>
      <c r="KFW57" s="233"/>
      <c r="KFX57" s="233"/>
      <c r="KFY57" s="233"/>
      <c r="KFZ57" s="233"/>
      <c r="KGA57" s="231"/>
      <c r="KGB57" s="231"/>
      <c r="KGC57" s="229"/>
      <c r="KGD57" s="230"/>
      <c r="KGE57" s="231"/>
      <c r="KGF57" s="232"/>
      <c r="KGG57" s="233"/>
      <c r="KGH57" s="233"/>
      <c r="KGI57" s="233"/>
      <c r="KGJ57" s="233"/>
      <c r="KGK57" s="233"/>
      <c r="KGL57" s="233"/>
      <c r="KGM57" s="231"/>
      <c r="KGN57" s="231"/>
      <c r="KGO57" s="229"/>
      <c r="KGP57" s="230"/>
      <c r="KGQ57" s="231"/>
      <c r="KGR57" s="232"/>
      <c r="KGS57" s="233"/>
      <c r="KGT57" s="233"/>
      <c r="KGU57" s="233"/>
      <c r="KGV57" s="233"/>
      <c r="KGW57" s="233"/>
      <c r="KGX57" s="233"/>
      <c r="KGY57" s="231"/>
      <c r="KGZ57" s="231"/>
      <c r="KHA57" s="229"/>
      <c r="KHB57" s="230"/>
      <c r="KHC57" s="231"/>
      <c r="KHD57" s="232"/>
      <c r="KHE57" s="233"/>
      <c r="KHF57" s="233"/>
      <c r="KHG57" s="233"/>
      <c r="KHH57" s="233"/>
      <c r="KHI57" s="233"/>
      <c r="KHJ57" s="233"/>
      <c r="KHK57" s="231"/>
      <c r="KHL57" s="231"/>
      <c r="KHM57" s="229"/>
      <c r="KHN57" s="230"/>
      <c r="KHO57" s="231"/>
      <c r="KHP57" s="232"/>
      <c r="KHQ57" s="233"/>
      <c r="KHR57" s="233"/>
      <c r="KHS57" s="233"/>
      <c r="KHT57" s="233"/>
      <c r="KHU57" s="233"/>
      <c r="KHV57" s="233"/>
      <c r="KHW57" s="231"/>
      <c r="KHX57" s="231"/>
      <c r="KHY57" s="229"/>
      <c r="KHZ57" s="230"/>
      <c r="KIA57" s="231"/>
      <c r="KIB57" s="232"/>
      <c r="KIC57" s="233"/>
      <c r="KID57" s="233"/>
      <c r="KIE57" s="233"/>
      <c r="KIF57" s="233"/>
      <c r="KIG57" s="233"/>
      <c r="KIH57" s="233"/>
      <c r="KII57" s="231"/>
      <c r="KIJ57" s="231"/>
      <c r="KIK57" s="229"/>
      <c r="KIL57" s="230"/>
      <c r="KIM57" s="231"/>
      <c r="KIN57" s="232"/>
      <c r="KIO57" s="233"/>
      <c r="KIP57" s="233"/>
      <c r="KIQ57" s="233"/>
      <c r="KIR57" s="233"/>
      <c r="KIS57" s="233"/>
      <c r="KIT57" s="233"/>
      <c r="KIU57" s="231"/>
      <c r="KIV57" s="231"/>
      <c r="KIW57" s="229"/>
      <c r="KIX57" s="230"/>
      <c r="KIY57" s="231"/>
      <c r="KIZ57" s="232"/>
      <c r="KJA57" s="233"/>
      <c r="KJB57" s="233"/>
      <c r="KJC57" s="233"/>
      <c r="KJD57" s="233"/>
      <c r="KJE57" s="233"/>
      <c r="KJF57" s="233"/>
      <c r="KJG57" s="231"/>
      <c r="KJH57" s="231"/>
      <c r="KJI57" s="229"/>
      <c r="KJJ57" s="230"/>
      <c r="KJK57" s="231"/>
      <c r="KJL57" s="232"/>
      <c r="KJM57" s="233"/>
      <c r="KJN57" s="233"/>
      <c r="KJO57" s="233"/>
      <c r="KJP57" s="233"/>
      <c r="KJQ57" s="233"/>
      <c r="KJR57" s="233"/>
      <c r="KJS57" s="231"/>
      <c r="KJT57" s="231"/>
      <c r="KJU57" s="229"/>
      <c r="KJV57" s="230"/>
      <c r="KJW57" s="231"/>
      <c r="KJX57" s="232"/>
      <c r="KJY57" s="233"/>
      <c r="KJZ57" s="233"/>
      <c r="KKA57" s="233"/>
      <c r="KKB57" s="233"/>
      <c r="KKC57" s="233"/>
      <c r="KKD57" s="233"/>
      <c r="KKE57" s="231"/>
      <c r="KKF57" s="231"/>
      <c r="KKG57" s="229"/>
      <c r="KKH57" s="230"/>
      <c r="KKI57" s="231"/>
      <c r="KKJ57" s="232"/>
      <c r="KKK57" s="233"/>
      <c r="KKL57" s="233"/>
      <c r="KKM57" s="233"/>
      <c r="KKN57" s="233"/>
      <c r="KKO57" s="233"/>
      <c r="KKP57" s="233"/>
      <c r="KKQ57" s="231"/>
      <c r="KKR57" s="231"/>
      <c r="KKS57" s="229"/>
      <c r="KKT57" s="230"/>
      <c r="KKU57" s="231"/>
      <c r="KKV57" s="232"/>
      <c r="KKW57" s="233"/>
      <c r="KKX57" s="233"/>
      <c r="KKY57" s="233"/>
      <c r="KKZ57" s="233"/>
      <c r="KLA57" s="233"/>
      <c r="KLB57" s="233"/>
      <c r="KLC57" s="231"/>
      <c r="KLD57" s="231"/>
      <c r="KLE57" s="229"/>
      <c r="KLF57" s="230"/>
      <c r="KLG57" s="231"/>
      <c r="KLH57" s="232"/>
      <c r="KLI57" s="233"/>
      <c r="KLJ57" s="233"/>
      <c r="KLK57" s="233"/>
      <c r="KLL57" s="233"/>
      <c r="KLM57" s="233"/>
      <c r="KLN57" s="233"/>
      <c r="KLO57" s="231"/>
      <c r="KLP57" s="231"/>
      <c r="KLQ57" s="229"/>
      <c r="KLR57" s="230"/>
      <c r="KLS57" s="231"/>
      <c r="KLT57" s="232"/>
      <c r="KLU57" s="233"/>
      <c r="KLV57" s="233"/>
      <c r="KLW57" s="233"/>
      <c r="KLX57" s="233"/>
      <c r="KLY57" s="233"/>
      <c r="KLZ57" s="233"/>
      <c r="KMA57" s="231"/>
      <c r="KMB57" s="231"/>
      <c r="KMC57" s="229"/>
      <c r="KMD57" s="230"/>
      <c r="KME57" s="231"/>
      <c r="KMF57" s="232"/>
      <c r="KMG57" s="233"/>
      <c r="KMH57" s="233"/>
      <c r="KMI57" s="233"/>
      <c r="KMJ57" s="233"/>
      <c r="KMK57" s="233"/>
      <c r="KML57" s="233"/>
      <c r="KMM57" s="231"/>
      <c r="KMN57" s="231"/>
      <c r="KMO57" s="229"/>
      <c r="KMP57" s="230"/>
      <c r="KMQ57" s="231"/>
      <c r="KMR57" s="232"/>
      <c r="KMS57" s="233"/>
      <c r="KMT57" s="233"/>
      <c r="KMU57" s="233"/>
      <c r="KMV57" s="233"/>
      <c r="KMW57" s="233"/>
      <c r="KMX57" s="233"/>
      <c r="KMY57" s="231"/>
      <c r="KMZ57" s="231"/>
      <c r="KNA57" s="229"/>
      <c r="KNB57" s="230"/>
      <c r="KNC57" s="231"/>
      <c r="KND57" s="232"/>
      <c r="KNE57" s="233"/>
      <c r="KNF57" s="233"/>
      <c r="KNG57" s="233"/>
      <c r="KNH57" s="233"/>
      <c r="KNI57" s="233"/>
      <c r="KNJ57" s="233"/>
      <c r="KNK57" s="231"/>
      <c r="KNL57" s="231"/>
      <c r="KNM57" s="229"/>
      <c r="KNN57" s="230"/>
      <c r="KNO57" s="231"/>
      <c r="KNP57" s="232"/>
      <c r="KNQ57" s="233"/>
      <c r="KNR57" s="233"/>
      <c r="KNS57" s="233"/>
      <c r="KNT57" s="233"/>
      <c r="KNU57" s="233"/>
      <c r="KNV57" s="233"/>
      <c r="KNW57" s="231"/>
      <c r="KNX57" s="231"/>
      <c r="KNY57" s="229"/>
      <c r="KNZ57" s="230"/>
      <c r="KOA57" s="231"/>
      <c r="KOB57" s="232"/>
      <c r="KOC57" s="233"/>
      <c r="KOD57" s="233"/>
      <c r="KOE57" s="233"/>
      <c r="KOF57" s="233"/>
      <c r="KOG57" s="233"/>
      <c r="KOH57" s="233"/>
      <c r="KOI57" s="231"/>
      <c r="KOJ57" s="231"/>
      <c r="KOK57" s="229"/>
      <c r="KOL57" s="230"/>
      <c r="KOM57" s="231"/>
      <c r="KON57" s="232"/>
      <c r="KOO57" s="233"/>
      <c r="KOP57" s="233"/>
      <c r="KOQ57" s="233"/>
      <c r="KOR57" s="233"/>
      <c r="KOS57" s="233"/>
      <c r="KOT57" s="233"/>
      <c r="KOU57" s="231"/>
      <c r="KOV57" s="231"/>
      <c r="KOW57" s="229"/>
      <c r="KOX57" s="230"/>
      <c r="KOY57" s="231"/>
      <c r="KOZ57" s="232"/>
      <c r="KPA57" s="233"/>
      <c r="KPB57" s="233"/>
      <c r="KPC57" s="233"/>
      <c r="KPD57" s="233"/>
      <c r="KPE57" s="233"/>
      <c r="KPF57" s="233"/>
      <c r="KPG57" s="231"/>
      <c r="KPH57" s="231"/>
      <c r="KPI57" s="229"/>
      <c r="KPJ57" s="230"/>
      <c r="KPK57" s="231"/>
      <c r="KPL57" s="232"/>
      <c r="KPM57" s="233"/>
      <c r="KPN57" s="233"/>
      <c r="KPO57" s="233"/>
      <c r="KPP57" s="233"/>
      <c r="KPQ57" s="233"/>
      <c r="KPR57" s="233"/>
      <c r="KPS57" s="231"/>
      <c r="KPT57" s="231"/>
      <c r="KPU57" s="229"/>
      <c r="KPV57" s="230"/>
      <c r="KPW57" s="231"/>
      <c r="KPX57" s="232"/>
      <c r="KPY57" s="233"/>
      <c r="KPZ57" s="233"/>
      <c r="KQA57" s="233"/>
      <c r="KQB57" s="233"/>
      <c r="KQC57" s="233"/>
      <c r="KQD57" s="233"/>
      <c r="KQE57" s="231"/>
      <c r="KQF57" s="231"/>
      <c r="KQG57" s="229"/>
      <c r="KQH57" s="230"/>
      <c r="KQI57" s="231"/>
      <c r="KQJ57" s="232"/>
      <c r="KQK57" s="233"/>
      <c r="KQL57" s="233"/>
      <c r="KQM57" s="233"/>
      <c r="KQN57" s="233"/>
      <c r="KQO57" s="233"/>
      <c r="KQP57" s="233"/>
      <c r="KQQ57" s="231"/>
      <c r="KQR57" s="231"/>
      <c r="KQS57" s="229"/>
      <c r="KQT57" s="230"/>
      <c r="KQU57" s="231"/>
      <c r="KQV57" s="232"/>
      <c r="KQW57" s="233"/>
      <c r="KQX57" s="233"/>
      <c r="KQY57" s="233"/>
      <c r="KQZ57" s="233"/>
      <c r="KRA57" s="233"/>
      <c r="KRB57" s="233"/>
      <c r="KRC57" s="231"/>
      <c r="KRD57" s="231"/>
      <c r="KRE57" s="229"/>
      <c r="KRF57" s="230"/>
      <c r="KRG57" s="231"/>
      <c r="KRH57" s="232"/>
      <c r="KRI57" s="233"/>
      <c r="KRJ57" s="233"/>
      <c r="KRK57" s="233"/>
      <c r="KRL57" s="233"/>
      <c r="KRM57" s="233"/>
      <c r="KRN57" s="233"/>
      <c r="KRO57" s="231"/>
      <c r="KRP57" s="231"/>
      <c r="KRQ57" s="229"/>
      <c r="KRR57" s="230"/>
      <c r="KRS57" s="231"/>
      <c r="KRT57" s="232"/>
      <c r="KRU57" s="233"/>
      <c r="KRV57" s="233"/>
      <c r="KRW57" s="233"/>
      <c r="KRX57" s="233"/>
      <c r="KRY57" s="233"/>
      <c r="KRZ57" s="233"/>
      <c r="KSA57" s="231"/>
      <c r="KSB57" s="231"/>
      <c r="KSC57" s="229"/>
      <c r="KSD57" s="230"/>
      <c r="KSE57" s="231"/>
      <c r="KSF57" s="232"/>
      <c r="KSG57" s="233"/>
      <c r="KSH57" s="233"/>
      <c r="KSI57" s="233"/>
      <c r="KSJ57" s="233"/>
      <c r="KSK57" s="233"/>
      <c r="KSL57" s="233"/>
      <c r="KSM57" s="231"/>
      <c r="KSN57" s="231"/>
      <c r="KSO57" s="229"/>
      <c r="KSP57" s="230"/>
      <c r="KSQ57" s="231"/>
      <c r="KSR57" s="232"/>
      <c r="KSS57" s="233"/>
      <c r="KST57" s="233"/>
      <c r="KSU57" s="233"/>
      <c r="KSV57" s="233"/>
      <c r="KSW57" s="233"/>
      <c r="KSX57" s="233"/>
      <c r="KSY57" s="231"/>
      <c r="KSZ57" s="231"/>
      <c r="KTA57" s="229"/>
      <c r="KTB57" s="230"/>
      <c r="KTC57" s="231"/>
      <c r="KTD57" s="232"/>
      <c r="KTE57" s="233"/>
      <c r="KTF57" s="233"/>
      <c r="KTG57" s="233"/>
      <c r="KTH57" s="233"/>
      <c r="KTI57" s="233"/>
      <c r="KTJ57" s="233"/>
      <c r="KTK57" s="231"/>
      <c r="KTL57" s="231"/>
      <c r="KTM57" s="229"/>
      <c r="KTN57" s="230"/>
      <c r="KTO57" s="231"/>
      <c r="KTP57" s="232"/>
      <c r="KTQ57" s="233"/>
      <c r="KTR57" s="233"/>
      <c r="KTS57" s="233"/>
      <c r="KTT57" s="233"/>
      <c r="KTU57" s="233"/>
      <c r="KTV57" s="233"/>
      <c r="KTW57" s="231"/>
      <c r="KTX57" s="231"/>
      <c r="KTY57" s="229"/>
      <c r="KTZ57" s="230"/>
      <c r="KUA57" s="231"/>
      <c r="KUB57" s="232"/>
      <c r="KUC57" s="233"/>
      <c r="KUD57" s="233"/>
      <c r="KUE57" s="233"/>
      <c r="KUF57" s="233"/>
      <c r="KUG57" s="233"/>
      <c r="KUH57" s="233"/>
      <c r="KUI57" s="231"/>
      <c r="KUJ57" s="231"/>
      <c r="KUK57" s="229"/>
      <c r="KUL57" s="230"/>
      <c r="KUM57" s="231"/>
      <c r="KUN57" s="232"/>
      <c r="KUO57" s="233"/>
      <c r="KUP57" s="233"/>
      <c r="KUQ57" s="233"/>
      <c r="KUR57" s="233"/>
      <c r="KUS57" s="233"/>
      <c r="KUT57" s="233"/>
      <c r="KUU57" s="231"/>
      <c r="KUV57" s="231"/>
      <c r="KUW57" s="229"/>
      <c r="KUX57" s="230"/>
      <c r="KUY57" s="231"/>
      <c r="KUZ57" s="232"/>
      <c r="KVA57" s="233"/>
      <c r="KVB57" s="233"/>
      <c r="KVC57" s="233"/>
      <c r="KVD57" s="233"/>
      <c r="KVE57" s="233"/>
      <c r="KVF57" s="233"/>
      <c r="KVG57" s="231"/>
      <c r="KVH57" s="231"/>
      <c r="KVI57" s="229"/>
      <c r="KVJ57" s="230"/>
      <c r="KVK57" s="231"/>
      <c r="KVL57" s="232"/>
      <c r="KVM57" s="233"/>
      <c r="KVN57" s="233"/>
      <c r="KVO57" s="233"/>
      <c r="KVP57" s="233"/>
      <c r="KVQ57" s="233"/>
      <c r="KVR57" s="233"/>
      <c r="KVS57" s="231"/>
      <c r="KVT57" s="231"/>
      <c r="KVU57" s="229"/>
      <c r="KVV57" s="230"/>
      <c r="KVW57" s="231"/>
      <c r="KVX57" s="232"/>
      <c r="KVY57" s="233"/>
      <c r="KVZ57" s="233"/>
      <c r="KWA57" s="233"/>
      <c r="KWB57" s="233"/>
      <c r="KWC57" s="233"/>
      <c r="KWD57" s="233"/>
      <c r="KWE57" s="231"/>
      <c r="KWF57" s="231"/>
      <c r="KWG57" s="229"/>
      <c r="KWH57" s="230"/>
      <c r="KWI57" s="231"/>
      <c r="KWJ57" s="232"/>
      <c r="KWK57" s="233"/>
      <c r="KWL57" s="233"/>
      <c r="KWM57" s="233"/>
      <c r="KWN57" s="233"/>
      <c r="KWO57" s="233"/>
      <c r="KWP57" s="233"/>
      <c r="KWQ57" s="231"/>
      <c r="KWR57" s="231"/>
      <c r="KWS57" s="229"/>
      <c r="KWT57" s="230"/>
      <c r="KWU57" s="231"/>
      <c r="KWV57" s="232"/>
      <c r="KWW57" s="233"/>
      <c r="KWX57" s="233"/>
      <c r="KWY57" s="233"/>
      <c r="KWZ57" s="233"/>
      <c r="KXA57" s="233"/>
      <c r="KXB57" s="233"/>
      <c r="KXC57" s="231"/>
      <c r="KXD57" s="231"/>
      <c r="KXE57" s="229"/>
      <c r="KXF57" s="230"/>
      <c r="KXG57" s="231"/>
      <c r="KXH57" s="232"/>
      <c r="KXI57" s="233"/>
      <c r="KXJ57" s="233"/>
      <c r="KXK57" s="233"/>
      <c r="KXL57" s="233"/>
      <c r="KXM57" s="233"/>
      <c r="KXN57" s="233"/>
      <c r="KXO57" s="231"/>
      <c r="KXP57" s="231"/>
      <c r="KXQ57" s="229"/>
      <c r="KXR57" s="230"/>
      <c r="KXS57" s="231"/>
      <c r="KXT57" s="232"/>
      <c r="KXU57" s="233"/>
      <c r="KXV57" s="233"/>
      <c r="KXW57" s="233"/>
      <c r="KXX57" s="233"/>
      <c r="KXY57" s="233"/>
      <c r="KXZ57" s="233"/>
      <c r="KYA57" s="231"/>
      <c r="KYB57" s="231"/>
      <c r="KYC57" s="229"/>
      <c r="KYD57" s="230"/>
      <c r="KYE57" s="231"/>
      <c r="KYF57" s="232"/>
      <c r="KYG57" s="233"/>
      <c r="KYH57" s="233"/>
      <c r="KYI57" s="233"/>
      <c r="KYJ57" s="233"/>
      <c r="KYK57" s="233"/>
      <c r="KYL57" s="233"/>
      <c r="KYM57" s="231"/>
      <c r="KYN57" s="231"/>
      <c r="KYO57" s="229"/>
      <c r="KYP57" s="230"/>
      <c r="KYQ57" s="231"/>
      <c r="KYR57" s="232"/>
      <c r="KYS57" s="233"/>
      <c r="KYT57" s="233"/>
      <c r="KYU57" s="233"/>
      <c r="KYV57" s="233"/>
      <c r="KYW57" s="233"/>
      <c r="KYX57" s="233"/>
      <c r="KYY57" s="231"/>
      <c r="KYZ57" s="231"/>
      <c r="KZA57" s="229"/>
      <c r="KZB57" s="230"/>
      <c r="KZC57" s="231"/>
      <c r="KZD57" s="232"/>
      <c r="KZE57" s="233"/>
      <c r="KZF57" s="233"/>
      <c r="KZG57" s="233"/>
      <c r="KZH57" s="233"/>
      <c r="KZI57" s="233"/>
      <c r="KZJ57" s="233"/>
      <c r="KZK57" s="231"/>
      <c r="KZL57" s="231"/>
      <c r="KZM57" s="229"/>
      <c r="KZN57" s="230"/>
      <c r="KZO57" s="231"/>
      <c r="KZP57" s="232"/>
      <c r="KZQ57" s="233"/>
      <c r="KZR57" s="233"/>
      <c r="KZS57" s="233"/>
      <c r="KZT57" s="233"/>
      <c r="KZU57" s="233"/>
      <c r="KZV57" s="233"/>
      <c r="KZW57" s="231"/>
      <c r="KZX57" s="231"/>
      <c r="KZY57" s="229"/>
      <c r="KZZ57" s="230"/>
      <c r="LAA57" s="231"/>
      <c r="LAB57" s="232"/>
      <c r="LAC57" s="233"/>
      <c r="LAD57" s="233"/>
      <c r="LAE57" s="233"/>
      <c r="LAF57" s="233"/>
      <c r="LAG57" s="233"/>
      <c r="LAH57" s="233"/>
      <c r="LAI57" s="231"/>
      <c r="LAJ57" s="231"/>
      <c r="LAK57" s="229"/>
      <c r="LAL57" s="230"/>
      <c r="LAM57" s="231"/>
      <c r="LAN57" s="232"/>
      <c r="LAO57" s="233"/>
      <c r="LAP57" s="233"/>
      <c r="LAQ57" s="233"/>
      <c r="LAR57" s="233"/>
      <c r="LAS57" s="233"/>
      <c r="LAT57" s="233"/>
      <c r="LAU57" s="231"/>
      <c r="LAV57" s="231"/>
      <c r="LAW57" s="229"/>
      <c r="LAX57" s="230"/>
      <c r="LAY57" s="231"/>
      <c r="LAZ57" s="232"/>
      <c r="LBA57" s="233"/>
      <c r="LBB57" s="233"/>
      <c r="LBC57" s="233"/>
      <c r="LBD57" s="233"/>
      <c r="LBE57" s="233"/>
      <c r="LBF57" s="233"/>
      <c r="LBG57" s="231"/>
      <c r="LBH57" s="231"/>
      <c r="LBI57" s="229"/>
      <c r="LBJ57" s="230"/>
      <c r="LBK57" s="231"/>
      <c r="LBL57" s="232"/>
      <c r="LBM57" s="233"/>
      <c r="LBN57" s="233"/>
      <c r="LBO57" s="233"/>
      <c r="LBP57" s="233"/>
      <c r="LBQ57" s="233"/>
      <c r="LBR57" s="233"/>
      <c r="LBS57" s="231"/>
      <c r="LBT57" s="231"/>
      <c r="LBU57" s="229"/>
      <c r="LBV57" s="230"/>
      <c r="LBW57" s="231"/>
      <c r="LBX57" s="232"/>
      <c r="LBY57" s="233"/>
      <c r="LBZ57" s="233"/>
      <c r="LCA57" s="233"/>
      <c r="LCB57" s="233"/>
      <c r="LCC57" s="233"/>
      <c r="LCD57" s="233"/>
      <c r="LCE57" s="231"/>
      <c r="LCF57" s="231"/>
      <c r="LCG57" s="229"/>
      <c r="LCH57" s="230"/>
      <c r="LCI57" s="231"/>
      <c r="LCJ57" s="232"/>
      <c r="LCK57" s="233"/>
      <c r="LCL57" s="233"/>
      <c r="LCM57" s="233"/>
      <c r="LCN57" s="233"/>
      <c r="LCO57" s="233"/>
      <c r="LCP57" s="233"/>
      <c r="LCQ57" s="231"/>
      <c r="LCR57" s="231"/>
      <c r="LCS57" s="229"/>
      <c r="LCT57" s="230"/>
      <c r="LCU57" s="231"/>
      <c r="LCV57" s="232"/>
      <c r="LCW57" s="233"/>
      <c r="LCX57" s="233"/>
      <c r="LCY57" s="233"/>
      <c r="LCZ57" s="233"/>
      <c r="LDA57" s="233"/>
      <c r="LDB57" s="233"/>
      <c r="LDC57" s="231"/>
      <c r="LDD57" s="231"/>
      <c r="LDE57" s="229"/>
      <c r="LDF57" s="230"/>
      <c r="LDG57" s="231"/>
      <c r="LDH57" s="232"/>
      <c r="LDI57" s="233"/>
      <c r="LDJ57" s="233"/>
      <c r="LDK57" s="233"/>
      <c r="LDL57" s="233"/>
      <c r="LDM57" s="233"/>
      <c r="LDN57" s="233"/>
      <c r="LDO57" s="231"/>
      <c r="LDP57" s="231"/>
      <c r="LDQ57" s="229"/>
      <c r="LDR57" s="230"/>
      <c r="LDS57" s="231"/>
      <c r="LDT57" s="232"/>
      <c r="LDU57" s="233"/>
      <c r="LDV57" s="233"/>
      <c r="LDW57" s="233"/>
      <c r="LDX57" s="233"/>
      <c r="LDY57" s="233"/>
      <c r="LDZ57" s="233"/>
      <c r="LEA57" s="231"/>
      <c r="LEB57" s="231"/>
      <c r="LEC57" s="229"/>
      <c r="LED57" s="230"/>
      <c r="LEE57" s="231"/>
      <c r="LEF57" s="232"/>
      <c r="LEG57" s="233"/>
      <c r="LEH57" s="233"/>
      <c r="LEI57" s="233"/>
      <c r="LEJ57" s="233"/>
      <c r="LEK57" s="233"/>
      <c r="LEL57" s="233"/>
      <c r="LEM57" s="231"/>
      <c r="LEN57" s="231"/>
      <c r="LEO57" s="229"/>
      <c r="LEP57" s="230"/>
      <c r="LEQ57" s="231"/>
      <c r="LER57" s="232"/>
      <c r="LES57" s="233"/>
      <c r="LET57" s="233"/>
      <c r="LEU57" s="233"/>
      <c r="LEV57" s="233"/>
      <c r="LEW57" s="233"/>
      <c r="LEX57" s="233"/>
      <c r="LEY57" s="231"/>
      <c r="LEZ57" s="231"/>
      <c r="LFA57" s="229"/>
      <c r="LFB57" s="230"/>
      <c r="LFC57" s="231"/>
      <c r="LFD57" s="232"/>
      <c r="LFE57" s="233"/>
      <c r="LFF57" s="233"/>
      <c r="LFG57" s="233"/>
      <c r="LFH57" s="233"/>
      <c r="LFI57" s="233"/>
      <c r="LFJ57" s="233"/>
      <c r="LFK57" s="231"/>
      <c r="LFL57" s="231"/>
      <c r="LFM57" s="229"/>
      <c r="LFN57" s="230"/>
      <c r="LFO57" s="231"/>
      <c r="LFP57" s="232"/>
      <c r="LFQ57" s="233"/>
      <c r="LFR57" s="233"/>
      <c r="LFS57" s="233"/>
      <c r="LFT57" s="233"/>
      <c r="LFU57" s="233"/>
      <c r="LFV57" s="233"/>
      <c r="LFW57" s="231"/>
      <c r="LFX57" s="231"/>
      <c r="LFY57" s="229"/>
      <c r="LFZ57" s="230"/>
      <c r="LGA57" s="231"/>
      <c r="LGB57" s="232"/>
      <c r="LGC57" s="233"/>
      <c r="LGD57" s="233"/>
      <c r="LGE57" s="233"/>
      <c r="LGF57" s="233"/>
      <c r="LGG57" s="233"/>
      <c r="LGH57" s="233"/>
      <c r="LGI57" s="231"/>
      <c r="LGJ57" s="231"/>
      <c r="LGK57" s="229"/>
      <c r="LGL57" s="230"/>
      <c r="LGM57" s="231"/>
      <c r="LGN57" s="232"/>
      <c r="LGO57" s="233"/>
      <c r="LGP57" s="233"/>
      <c r="LGQ57" s="233"/>
      <c r="LGR57" s="233"/>
      <c r="LGS57" s="233"/>
      <c r="LGT57" s="233"/>
      <c r="LGU57" s="231"/>
      <c r="LGV57" s="231"/>
      <c r="LGW57" s="229"/>
      <c r="LGX57" s="230"/>
      <c r="LGY57" s="231"/>
      <c r="LGZ57" s="232"/>
      <c r="LHA57" s="233"/>
      <c r="LHB57" s="233"/>
      <c r="LHC57" s="233"/>
      <c r="LHD57" s="233"/>
      <c r="LHE57" s="233"/>
      <c r="LHF57" s="233"/>
      <c r="LHG57" s="231"/>
      <c r="LHH57" s="231"/>
      <c r="LHI57" s="229"/>
      <c r="LHJ57" s="230"/>
      <c r="LHK57" s="231"/>
      <c r="LHL57" s="232"/>
      <c r="LHM57" s="233"/>
      <c r="LHN57" s="233"/>
      <c r="LHO57" s="233"/>
      <c r="LHP57" s="233"/>
      <c r="LHQ57" s="233"/>
      <c r="LHR57" s="233"/>
      <c r="LHS57" s="231"/>
      <c r="LHT57" s="231"/>
      <c r="LHU57" s="229"/>
      <c r="LHV57" s="230"/>
      <c r="LHW57" s="231"/>
      <c r="LHX57" s="232"/>
      <c r="LHY57" s="233"/>
      <c r="LHZ57" s="233"/>
      <c r="LIA57" s="233"/>
      <c r="LIB57" s="233"/>
      <c r="LIC57" s="233"/>
      <c r="LID57" s="233"/>
      <c r="LIE57" s="231"/>
      <c r="LIF57" s="231"/>
      <c r="LIG57" s="229"/>
      <c r="LIH57" s="230"/>
      <c r="LII57" s="231"/>
      <c r="LIJ57" s="232"/>
      <c r="LIK57" s="233"/>
      <c r="LIL57" s="233"/>
      <c r="LIM57" s="233"/>
      <c r="LIN57" s="233"/>
      <c r="LIO57" s="233"/>
      <c r="LIP57" s="233"/>
      <c r="LIQ57" s="231"/>
      <c r="LIR57" s="231"/>
      <c r="LIS57" s="229"/>
      <c r="LIT57" s="230"/>
      <c r="LIU57" s="231"/>
      <c r="LIV57" s="232"/>
      <c r="LIW57" s="233"/>
      <c r="LIX57" s="233"/>
      <c r="LIY57" s="233"/>
      <c r="LIZ57" s="233"/>
      <c r="LJA57" s="233"/>
      <c r="LJB57" s="233"/>
      <c r="LJC57" s="231"/>
      <c r="LJD57" s="231"/>
      <c r="LJE57" s="229"/>
      <c r="LJF57" s="230"/>
      <c r="LJG57" s="231"/>
      <c r="LJH57" s="232"/>
      <c r="LJI57" s="233"/>
      <c r="LJJ57" s="233"/>
      <c r="LJK57" s="233"/>
      <c r="LJL57" s="233"/>
      <c r="LJM57" s="233"/>
      <c r="LJN57" s="233"/>
      <c r="LJO57" s="231"/>
      <c r="LJP57" s="231"/>
      <c r="LJQ57" s="229"/>
      <c r="LJR57" s="230"/>
      <c r="LJS57" s="231"/>
      <c r="LJT57" s="232"/>
      <c r="LJU57" s="233"/>
      <c r="LJV57" s="233"/>
      <c r="LJW57" s="233"/>
      <c r="LJX57" s="233"/>
      <c r="LJY57" s="233"/>
      <c r="LJZ57" s="233"/>
      <c r="LKA57" s="231"/>
      <c r="LKB57" s="231"/>
      <c r="LKC57" s="229"/>
      <c r="LKD57" s="230"/>
      <c r="LKE57" s="231"/>
      <c r="LKF57" s="232"/>
      <c r="LKG57" s="233"/>
      <c r="LKH57" s="233"/>
      <c r="LKI57" s="233"/>
      <c r="LKJ57" s="233"/>
      <c r="LKK57" s="233"/>
      <c r="LKL57" s="233"/>
      <c r="LKM57" s="231"/>
      <c r="LKN57" s="231"/>
      <c r="LKO57" s="229"/>
      <c r="LKP57" s="230"/>
      <c r="LKQ57" s="231"/>
      <c r="LKR57" s="232"/>
      <c r="LKS57" s="233"/>
      <c r="LKT57" s="233"/>
      <c r="LKU57" s="233"/>
      <c r="LKV57" s="233"/>
      <c r="LKW57" s="233"/>
      <c r="LKX57" s="233"/>
      <c r="LKY57" s="231"/>
      <c r="LKZ57" s="231"/>
      <c r="LLA57" s="229"/>
      <c r="LLB57" s="230"/>
      <c r="LLC57" s="231"/>
      <c r="LLD57" s="232"/>
      <c r="LLE57" s="233"/>
      <c r="LLF57" s="233"/>
      <c r="LLG57" s="233"/>
      <c r="LLH57" s="233"/>
      <c r="LLI57" s="233"/>
      <c r="LLJ57" s="233"/>
      <c r="LLK57" s="231"/>
      <c r="LLL57" s="231"/>
      <c r="LLM57" s="229"/>
      <c r="LLN57" s="230"/>
      <c r="LLO57" s="231"/>
      <c r="LLP57" s="232"/>
      <c r="LLQ57" s="233"/>
      <c r="LLR57" s="233"/>
      <c r="LLS57" s="233"/>
      <c r="LLT57" s="233"/>
      <c r="LLU57" s="233"/>
      <c r="LLV57" s="233"/>
      <c r="LLW57" s="231"/>
      <c r="LLX57" s="231"/>
      <c r="LLY57" s="229"/>
      <c r="LLZ57" s="230"/>
      <c r="LMA57" s="231"/>
      <c r="LMB57" s="232"/>
      <c r="LMC57" s="233"/>
      <c r="LMD57" s="233"/>
      <c r="LME57" s="233"/>
      <c r="LMF57" s="233"/>
      <c r="LMG57" s="233"/>
      <c r="LMH57" s="233"/>
      <c r="LMI57" s="231"/>
      <c r="LMJ57" s="231"/>
      <c r="LMK57" s="229"/>
      <c r="LML57" s="230"/>
      <c r="LMM57" s="231"/>
      <c r="LMN57" s="232"/>
      <c r="LMO57" s="233"/>
      <c r="LMP57" s="233"/>
      <c r="LMQ57" s="233"/>
      <c r="LMR57" s="233"/>
      <c r="LMS57" s="233"/>
      <c r="LMT57" s="233"/>
      <c r="LMU57" s="231"/>
      <c r="LMV57" s="231"/>
      <c r="LMW57" s="229"/>
      <c r="LMX57" s="230"/>
      <c r="LMY57" s="231"/>
      <c r="LMZ57" s="232"/>
      <c r="LNA57" s="233"/>
      <c r="LNB57" s="233"/>
      <c r="LNC57" s="233"/>
      <c r="LND57" s="233"/>
      <c r="LNE57" s="233"/>
      <c r="LNF57" s="233"/>
      <c r="LNG57" s="231"/>
      <c r="LNH57" s="231"/>
      <c r="LNI57" s="229"/>
      <c r="LNJ57" s="230"/>
      <c r="LNK57" s="231"/>
      <c r="LNL57" s="232"/>
      <c r="LNM57" s="233"/>
      <c r="LNN57" s="233"/>
      <c r="LNO57" s="233"/>
      <c r="LNP57" s="233"/>
      <c r="LNQ57" s="233"/>
      <c r="LNR57" s="233"/>
      <c r="LNS57" s="231"/>
      <c r="LNT57" s="231"/>
      <c r="LNU57" s="229"/>
      <c r="LNV57" s="230"/>
      <c r="LNW57" s="231"/>
      <c r="LNX57" s="232"/>
      <c r="LNY57" s="233"/>
      <c r="LNZ57" s="233"/>
      <c r="LOA57" s="233"/>
      <c r="LOB57" s="233"/>
      <c r="LOC57" s="233"/>
      <c r="LOD57" s="233"/>
      <c r="LOE57" s="231"/>
      <c r="LOF57" s="231"/>
      <c r="LOG57" s="229"/>
      <c r="LOH57" s="230"/>
      <c r="LOI57" s="231"/>
      <c r="LOJ57" s="232"/>
      <c r="LOK57" s="233"/>
      <c r="LOL57" s="233"/>
      <c r="LOM57" s="233"/>
      <c r="LON57" s="233"/>
      <c r="LOO57" s="233"/>
      <c r="LOP57" s="233"/>
      <c r="LOQ57" s="231"/>
      <c r="LOR57" s="231"/>
      <c r="LOS57" s="229"/>
      <c r="LOT57" s="230"/>
      <c r="LOU57" s="231"/>
      <c r="LOV57" s="232"/>
      <c r="LOW57" s="233"/>
      <c r="LOX57" s="233"/>
      <c r="LOY57" s="233"/>
      <c r="LOZ57" s="233"/>
      <c r="LPA57" s="233"/>
      <c r="LPB57" s="233"/>
      <c r="LPC57" s="231"/>
      <c r="LPD57" s="231"/>
      <c r="LPE57" s="229"/>
      <c r="LPF57" s="230"/>
      <c r="LPG57" s="231"/>
      <c r="LPH57" s="232"/>
      <c r="LPI57" s="233"/>
      <c r="LPJ57" s="233"/>
      <c r="LPK57" s="233"/>
      <c r="LPL57" s="233"/>
      <c r="LPM57" s="233"/>
      <c r="LPN57" s="233"/>
      <c r="LPO57" s="231"/>
      <c r="LPP57" s="231"/>
      <c r="LPQ57" s="229"/>
      <c r="LPR57" s="230"/>
      <c r="LPS57" s="231"/>
      <c r="LPT57" s="232"/>
      <c r="LPU57" s="233"/>
      <c r="LPV57" s="233"/>
      <c r="LPW57" s="233"/>
      <c r="LPX57" s="233"/>
      <c r="LPY57" s="233"/>
      <c r="LPZ57" s="233"/>
      <c r="LQA57" s="231"/>
      <c r="LQB57" s="231"/>
      <c r="LQC57" s="229"/>
      <c r="LQD57" s="230"/>
      <c r="LQE57" s="231"/>
      <c r="LQF57" s="232"/>
      <c r="LQG57" s="233"/>
      <c r="LQH57" s="233"/>
      <c r="LQI57" s="233"/>
      <c r="LQJ57" s="233"/>
      <c r="LQK57" s="233"/>
      <c r="LQL57" s="233"/>
      <c r="LQM57" s="231"/>
      <c r="LQN57" s="231"/>
      <c r="LQO57" s="229"/>
      <c r="LQP57" s="230"/>
      <c r="LQQ57" s="231"/>
      <c r="LQR57" s="232"/>
      <c r="LQS57" s="233"/>
      <c r="LQT57" s="233"/>
      <c r="LQU57" s="233"/>
      <c r="LQV57" s="233"/>
      <c r="LQW57" s="233"/>
      <c r="LQX57" s="233"/>
      <c r="LQY57" s="231"/>
      <c r="LQZ57" s="231"/>
      <c r="LRA57" s="229"/>
      <c r="LRB57" s="230"/>
      <c r="LRC57" s="231"/>
      <c r="LRD57" s="232"/>
      <c r="LRE57" s="233"/>
      <c r="LRF57" s="233"/>
      <c r="LRG57" s="233"/>
      <c r="LRH57" s="233"/>
      <c r="LRI57" s="233"/>
      <c r="LRJ57" s="233"/>
      <c r="LRK57" s="231"/>
      <c r="LRL57" s="231"/>
      <c r="LRM57" s="229"/>
      <c r="LRN57" s="230"/>
      <c r="LRO57" s="231"/>
      <c r="LRP57" s="232"/>
      <c r="LRQ57" s="233"/>
      <c r="LRR57" s="233"/>
      <c r="LRS57" s="233"/>
      <c r="LRT57" s="233"/>
      <c r="LRU57" s="233"/>
      <c r="LRV57" s="233"/>
      <c r="LRW57" s="231"/>
      <c r="LRX57" s="231"/>
      <c r="LRY57" s="229"/>
      <c r="LRZ57" s="230"/>
      <c r="LSA57" s="231"/>
      <c r="LSB57" s="232"/>
      <c r="LSC57" s="233"/>
      <c r="LSD57" s="233"/>
      <c r="LSE57" s="233"/>
      <c r="LSF57" s="233"/>
      <c r="LSG57" s="233"/>
      <c r="LSH57" s="233"/>
      <c r="LSI57" s="231"/>
      <c r="LSJ57" s="231"/>
      <c r="LSK57" s="229"/>
      <c r="LSL57" s="230"/>
      <c r="LSM57" s="231"/>
      <c r="LSN57" s="232"/>
      <c r="LSO57" s="233"/>
      <c r="LSP57" s="233"/>
      <c r="LSQ57" s="233"/>
      <c r="LSR57" s="233"/>
      <c r="LSS57" s="233"/>
      <c r="LST57" s="233"/>
      <c r="LSU57" s="231"/>
      <c r="LSV57" s="231"/>
      <c r="LSW57" s="229"/>
      <c r="LSX57" s="230"/>
      <c r="LSY57" s="231"/>
      <c r="LSZ57" s="232"/>
      <c r="LTA57" s="233"/>
      <c r="LTB57" s="233"/>
      <c r="LTC57" s="233"/>
      <c r="LTD57" s="233"/>
      <c r="LTE57" s="233"/>
      <c r="LTF57" s="233"/>
      <c r="LTG57" s="231"/>
      <c r="LTH57" s="231"/>
      <c r="LTI57" s="229"/>
      <c r="LTJ57" s="230"/>
      <c r="LTK57" s="231"/>
      <c r="LTL57" s="232"/>
      <c r="LTM57" s="233"/>
      <c r="LTN57" s="233"/>
      <c r="LTO57" s="233"/>
      <c r="LTP57" s="233"/>
      <c r="LTQ57" s="233"/>
      <c r="LTR57" s="233"/>
      <c r="LTS57" s="231"/>
      <c r="LTT57" s="231"/>
      <c r="LTU57" s="229"/>
      <c r="LTV57" s="230"/>
      <c r="LTW57" s="231"/>
      <c r="LTX57" s="232"/>
      <c r="LTY57" s="233"/>
      <c r="LTZ57" s="233"/>
      <c r="LUA57" s="233"/>
      <c r="LUB57" s="233"/>
      <c r="LUC57" s="233"/>
      <c r="LUD57" s="233"/>
      <c r="LUE57" s="231"/>
      <c r="LUF57" s="231"/>
      <c r="LUG57" s="229"/>
      <c r="LUH57" s="230"/>
      <c r="LUI57" s="231"/>
      <c r="LUJ57" s="232"/>
      <c r="LUK57" s="233"/>
      <c r="LUL57" s="233"/>
      <c r="LUM57" s="233"/>
      <c r="LUN57" s="233"/>
      <c r="LUO57" s="233"/>
      <c r="LUP57" s="233"/>
      <c r="LUQ57" s="231"/>
      <c r="LUR57" s="231"/>
      <c r="LUS57" s="229"/>
      <c r="LUT57" s="230"/>
      <c r="LUU57" s="231"/>
      <c r="LUV57" s="232"/>
      <c r="LUW57" s="233"/>
      <c r="LUX57" s="233"/>
      <c r="LUY57" s="233"/>
      <c r="LUZ57" s="233"/>
      <c r="LVA57" s="233"/>
      <c r="LVB57" s="233"/>
      <c r="LVC57" s="231"/>
      <c r="LVD57" s="231"/>
      <c r="LVE57" s="229"/>
      <c r="LVF57" s="230"/>
      <c r="LVG57" s="231"/>
      <c r="LVH57" s="232"/>
      <c r="LVI57" s="233"/>
      <c r="LVJ57" s="233"/>
      <c r="LVK57" s="233"/>
      <c r="LVL57" s="233"/>
      <c r="LVM57" s="233"/>
      <c r="LVN57" s="233"/>
      <c r="LVO57" s="231"/>
      <c r="LVP57" s="231"/>
      <c r="LVQ57" s="229"/>
      <c r="LVR57" s="230"/>
      <c r="LVS57" s="231"/>
      <c r="LVT57" s="232"/>
      <c r="LVU57" s="233"/>
      <c r="LVV57" s="233"/>
      <c r="LVW57" s="233"/>
      <c r="LVX57" s="233"/>
      <c r="LVY57" s="233"/>
      <c r="LVZ57" s="233"/>
      <c r="LWA57" s="231"/>
      <c r="LWB57" s="231"/>
      <c r="LWC57" s="229"/>
      <c r="LWD57" s="230"/>
      <c r="LWE57" s="231"/>
      <c r="LWF57" s="232"/>
      <c r="LWG57" s="233"/>
      <c r="LWH57" s="233"/>
      <c r="LWI57" s="233"/>
      <c r="LWJ57" s="233"/>
      <c r="LWK57" s="233"/>
      <c r="LWL57" s="233"/>
      <c r="LWM57" s="231"/>
      <c r="LWN57" s="231"/>
      <c r="LWO57" s="229"/>
      <c r="LWP57" s="230"/>
      <c r="LWQ57" s="231"/>
      <c r="LWR57" s="232"/>
      <c r="LWS57" s="233"/>
      <c r="LWT57" s="233"/>
      <c r="LWU57" s="233"/>
      <c r="LWV57" s="233"/>
      <c r="LWW57" s="233"/>
      <c r="LWX57" s="233"/>
      <c r="LWY57" s="231"/>
      <c r="LWZ57" s="231"/>
      <c r="LXA57" s="229"/>
      <c r="LXB57" s="230"/>
      <c r="LXC57" s="231"/>
      <c r="LXD57" s="232"/>
      <c r="LXE57" s="233"/>
      <c r="LXF57" s="233"/>
      <c r="LXG57" s="233"/>
      <c r="LXH57" s="233"/>
      <c r="LXI57" s="233"/>
      <c r="LXJ57" s="233"/>
      <c r="LXK57" s="231"/>
      <c r="LXL57" s="231"/>
      <c r="LXM57" s="229"/>
      <c r="LXN57" s="230"/>
      <c r="LXO57" s="231"/>
      <c r="LXP57" s="232"/>
      <c r="LXQ57" s="233"/>
      <c r="LXR57" s="233"/>
      <c r="LXS57" s="233"/>
      <c r="LXT57" s="233"/>
      <c r="LXU57" s="233"/>
      <c r="LXV57" s="233"/>
      <c r="LXW57" s="231"/>
      <c r="LXX57" s="231"/>
      <c r="LXY57" s="229"/>
      <c r="LXZ57" s="230"/>
      <c r="LYA57" s="231"/>
      <c r="LYB57" s="232"/>
      <c r="LYC57" s="233"/>
      <c r="LYD57" s="233"/>
      <c r="LYE57" s="233"/>
      <c r="LYF57" s="233"/>
      <c r="LYG57" s="233"/>
      <c r="LYH57" s="233"/>
      <c r="LYI57" s="231"/>
      <c r="LYJ57" s="231"/>
      <c r="LYK57" s="229"/>
      <c r="LYL57" s="230"/>
      <c r="LYM57" s="231"/>
      <c r="LYN57" s="232"/>
      <c r="LYO57" s="233"/>
      <c r="LYP57" s="233"/>
      <c r="LYQ57" s="233"/>
      <c r="LYR57" s="233"/>
      <c r="LYS57" s="233"/>
      <c r="LYT57" s="233"/>
      <c r="LYU57" s="231"/>
      <c r="LYV57" s="231"/>
      <c r="LYW57" s="229"/>
      <c r="LYX57" s="230"/>
      <c r="LYY57" s="231"/>
      <c r="LYZ57" s="232"/>
      <c r="LZA57" s="233"/>
      <c r="LZB57" s="233"/>
      <c r="LZC57" s="233"/>
      <c r="LZD57" s="233"/>
      <c r="LZE57" s="233"/>
      <c r="LZF57" s="233"/>
      <c r="LZG57" s="231"/>
      <c r="LZH57" s="231"/>
      <c r="LZI57" s="229"/>
      <c r="LZJ57" s="230"/>
      <c r="LZK57" s="231"/>
      <c r="LZL57" s="232"/>
      <c r="LZM57" s="233"/>
      <c r="LZN57" s="233"/>
      <c r="LZO57" s="233"/>
      <c r="LZP57" s="233"/>
      <c r="LZQ57" s="233"/>
      <c r="LZR57" s="233"/>
      <c r="LZS57" s="231"/>
      <c r="LZT57" s="231"/>
      <c r="LZU57" s="229"/>
      <c r="LZV57" s="230"/>
      <c r="LZW57" s="231"/>
      <c r="LZX57" s="232"/>
      <c r="LZY57" s="233"/>
      <c r="LZZ57" s="233"/>
      <c r="MAA57" s="233"/>
      <c r="MAB57" s="233"/>
      <c r="MAC57" s="233"/>
      <c r="MAD57" s="233"/>
      <c r="MAE57" s="231"/>
      <c r="MAF57" s="231"/>
      <c r="MAG57" s="229"/>
      <c r="MAH57" s="230"/>
      <c r="MAI57" s="231"/>
      <c r="MAJ57" s="232"/>
      <c r="MAK57" s="233"/>
      <c r="MAL57" s="233"/>
      <c r="MAM57" s="233"/>
      <c r="MAN57" s="233"/>
      <c r="MAO57" s="233"/>
      <c r="MAP57" s="233"/>
      <c r="MAQ57" s="231"/>
      <c r="MAR57" s="231"/>
      <c r="MAS57" s="229"/>
      <c r="MAT57" s="230"/>
      <c r="MAU57" s="231"/>
      <c r="MAV57" s="232"/>
      <c r="MAW57" s="233"/>
      <c r="MAX57" s="233"/>
      <c r="MAY57" s="233"/>
      <c r="MAZ57" s="233"/>
      <c r="MBA57" s="233"/>
      <c r="MBB57" s="233"/>
      <c r="MBC57" s="231"/>
      <c r="MBD57" s="231"/>
      <c r="MBE57" s="229"/>
      <c r="MBF57" s="230"/>
      <c r="MBG57" s="231"/>
      <c r="MBH57" s="232"/>
      <c r="MBI57" s="233"/>
      <c r="MBJ57" s="233"/>
      <c r="MBK57" s="233"/>
      <c r="MBL57" s="233"/>
      <c r="MBM57" s="233"/>
      <c r="MBN57" s="233"/>
      <c r="MBO57" s="231"/>
      <c r="MBP57" s="231"/>
      <c r="MBQ57" s="229"/>
      <c r="MBR57" s="230"/>
      <c r="MBS57" s="231"/>
      <c r="MBT57" s="232"/>
      <c r="MBU57" s="233"/>
      <c r="MBV57" s="233"/>
      <c r="MBW57" s="233"/>
      <c r="MBX57" s="233"/>
      <c r="MBY57" s="233"/>
      <c r="MBZ57" s="233"/>
      <c r="MCA57" s="231"/>
      <c r="MCB57" s="231"/>
      <c r="MCC57" s="229"/>
      <c r="MCD57" s="230"/>
      <c r="MCE57" s="231"/>
      <c r="MCF57" s="232"/>
      <c r="MCG57" s="233"/>
      <c r="MCH57" s="233"/>
      <c r="MCI57" s="233"/>
      <c r="MCJ57" s="233"/>
      <c r="MCK57" s="233"/>
      <c r="MCL57" s="233"/>
      <c r="MCM57" s="231"/>
      <c r="MCN57" s="231"/>
      <c r="MCO57" s="229"/>
      <c r="MCP57" s="230"/>
      <c r="MCQ57" s="231"/>
      <c r="MCR57" s="232"/>
      <c r="MCS57" s="233"/>
      <c r="MCT57" s="233"/>
      <c r="MCU57" s="233"/>
      <c r="MCV57" s="233"/>
      <c r="MCW57" s="233"/>
      <c r="MCX57" s="233"/>
      <c r="MCY57" s="231"/>
      <c r="MCZ57" s="231"/>
      <c r="MDA57" s="229"/>
      <c r="MDB57" s="230"/>
      <c r="MDC57" s="231"/>
      <c r="MDD57" s="232"/>
      <c r="MDE57" s="233"/>
      <c r="MDF57" s="233"/>
      <c r="MDG57" s="233"/>
      <c r="MDH57" s="233"/>
      <c r="MDI57" s="233"/>
      <c r="MDJ57" s="233"/>
      <c r="MDK57" s="231"/>
      <c r="MDL57" s="231"/>
      <c r="MDM57" s="229"/>
      <c r="MDN57" s="230"/>
      <c r="MDO57" s="231"/>
      <c r="MDP57" s="232"/>
      <c r="MDQ57" s="233"/>
      <c r="MDR57" s="233"/>
      <c r="MDS57" s="233"/>
      <c r="MDT57" s="233"/>
      <c r="MDU57" s="233"/>
      <c r="MDV57" s="233"/>
      <c r="MDW57" s="231"/>
      <c r="MDX57" s="231"/>
      <c r="MDY57" s="229"/>
      <c r="MDZ57" s="230"/>
      <c r="MEA57" s="231"/>
      <c r="MEB57" s="232"/>
      <c r="MEC57" s="233"/>
      <c r="MED57" s="233"/>
      <c r="MEE57" s="233"/>
      <c r="MEF57" s="233"/>
      <c r="MEG57" s="233"/>
      <c r="MEH57" s="233"/>
      <c r="MEI57" s="231"/>
      <c r="MEJ57" s="231"/>
      <c r="MEK57" s="229"/>
      <c r="MEL57" s="230"/>
      <c r="MEM57" s="231"/>
      <c r="MEN57" s="232"/>
      <c r="MEO57" s="233"/>
      <c r="MEP57" s="233"/>
      <c r="MEQ57" s="233"/>
      <c r="MER57" s="233"/>
      <c r="MES57" s="233"/>
      <c r="MET57" s="233"/>
      <c r="MEU57" s="231"/>
      <c r="MEV57" s="231"/>
      <c r="MEW57" s="229"/>
      <c r="MEX57" s="230"/>
      <c r="MEY57" s="231"/>
      <c r="MEZ57" s="232"/>
      <c r="MFA57" s="233"/>
      <c r="MFB57" s="233"/>
      <c r="MFC57" s="233"/>
      <c r="MFD57" s="233"/>
      <c r="MFE57" s="233"/>
      <c r="MFF57" s="233"/>
      <c r="MFG57" s="231"/>
      <c r="MFH57" s="231"/>
      <c r="MFI57" s="229"/>
      <c r="MFJ57" s="230"/>
      <c r="MFK57" s="231"/>
      <c r="MFL57" s="232"/>
      <c r="MFM57" s="233"/>
      <c r="MFN57" s="233"/>
      <c r="MFO57" s="233"/>
      <c r="MFP57" s="233"/>
      <c r="MFQ57" s="233"/>
      <c r="MFR57" s="233"/>
      <c r="MFS57" s="231"/>
      <c r="MFT57" s="231"/>
      <c r="MFU57" s="229"/>
      <c r="MFV57" s="230"/>
      <c r="MFW57" s="231"/>
      <c r="MFX57" s="232"/>
      <c r="MFY57" s="233"/>
      <c r="MFZ57" s="233"/>
      <c r="MGA57" s="233"/>
      <c r="MGB57" s="233"/>
      <c r="MGC57" s="233"/>
      <c r="MGD57" s="233"/>
      <c r="MGE57" s="231"/>
      <c r="MGF57" s="231"/>
      <c r="MGG57" s="229"/>
      <c r="MGH57" s="230"/>
      <c r="MGI57" s="231"/>
      <c r="MGJ57" s="232"/>
      <c r="MGK57" s="233"/>
      <c r="MGL57" s="233"/>
      <c r="MGM57" s="233"/>
      <c r="MGN57" s="233"/>
      <c r="MGO57" s="233"/>
      <c r="MGP57" s="233"/>
      <c r="MGQ57" s="231"/>
      <c r="MGR57" s="231"/>
      <c r="MGS57" s="229"/>
      <c r="MGT57" s="230"/>
      <c r="MGU57" s="231"/>
      <c r="MGV57" s="232"/>
      <c r="MGW57" s="233"/>
      <c r="MGX57" s="233"/>
      <c r="MGY57" s="233"/>
      <c r="MGZ57" s="233"/>
      <c r="MHA57" s="233"/>
      <c r="MHB57" s="233"/>
      <c r="MHC57" s="231"/>
      <c r="MHD57" s="231"/>
      <c r="MHE57" s="229"/>
      <c r="MHF57" s="230"/>
      <c r="MHG57" s="231"/>
      <c r="MHH57" s="232"/>
      <c r="MHI57" s="233"/>
      <c r="MHJ57" s="233"/>
      <c r="MHK57" s="233"/>
      <c r="MHL57" s="233"/>
      <c r="MHM57" s="233"/>
      <c r="MHN57" s="233"/>
      <c r="MHO57" s="231"/>
      <c r="MHP57" s="231"/>
      <c r="MHQ57" s="229"/>
      <c r="MHR57" s="230"/>
      <c r="MHS57" s="231"/>
      <c r="MHT57" s="232"/>
      <c r="MHU57" s="233"/>
      <c r="MHV57" s="233"/>
      <c r="MHW57" s="233"/>
      <c r="MHX57" s="233"/>
      <c r="MHY57" s="233"/>
      <c r="MHZ57" s="233"/>
      <c r="MIA57" s="231"/>
      <c r="MIB57" s="231"/>
      <c r="MIC57" s="229"/>
      <c r="MID57" s="230"/>
      <c r="MIE57" s="231"/>
      <c r="MIF57" s="232"/>
      <c r="MIG57" s="233"/>
      <c r="MIH57" s="233"/>
      <c r="MII57" s="233"/>
      <c r="MIJ57" s="233"/>
      <c r="MIK57" s="233"/>
      <c r="MIL57" s="233"/>
      <c r="MIM57" s="231"/>
      <c r="MIN57" s="231"/>
      <c r="MIO57" s="229"/>
      <c r="MIP57" s="230"/>
      <c r="MIQ57" s="231"/>
      <c r="MIR57" s="232"/>
      <c r="MIS57" s="233"/>
      <c r="MIT57" s="233"/>
      <c r="MIU57" s="233"/>
      <c r="MIV57" s="233"/>
      <c r="MIW57" s="233"/>
      <c r="MIX57" s="233"/>
      <c r="MIY57" s="231"/>
      <c r="MIZ57" s="231"/>
      <c r="MJA57" s="229"/>
      <c r="MJB57" s="230"/>
      <c r="MJC57" s="231"/>
      <c r="MJD57" s="232"/>
      <c r="MJE57" s="233"/>
      <c r="MJF57" s="233"/>
      <c r="MJG57" s="233"/>
      <c r="MJH57" s="233"/>
      <c r="MJI57" s="233"/>
      <c r="MJJ57" s="233"/>
      <c r="MJK57" s="231"/>
      <c r="MJL57" s="231"/>
      <c r="MJM57" s="229"/>
      <c r="MJN57" s="230"/>
      <c r="MJO57" s="231"/>
      <c r="MJP57" s="232"/>
      <c r="MJQ57" s="233"/>
      <c r="MJR57" s="233"/>
      <c r="MJS57" s="233"/>
      <c r="MJT57" s="233"/>
      <c r="MJU57" s="233"/>
      <c r="MJV57" s="233"/>
      <c r="MJW57" s="231"/>
      <c r="MJX57" s="231"/>
      <c r="MJY57" s="229"/>
      <c r="MJZ57" s="230"/>
      <c r="MKA57" s="231"/>
      <c r="MKB57" s="232"/>
      <c r="MKC57" s="233"/>
      <c r="MKD57" s="233"/>
      <c r="MKE57" s="233"/>
      <c r="MKF57" s="233"/>
      <c r="MKG57" s="233"/>
      <c r="MKH57" s="233"/>
      <c r="MKI57" s="231"/>
      <c r="MKJ57" s="231"/>
      <c r="MKK57" s="229"/>
      <c r="MKL57" s="230"/>
      <c r="MKM57" s="231"/>
      <c r="MKN57" s="232"/>
      <c r="MKO57" s="233"/>
      <c r="MKP57" s="233"/>
      <c r="MKQ57" s="233"/>
      <c r="MKR57" s="233"/>
      <c r="MKS57" s="233"/>
      <c r="MKT57" s="233"/>
      <c r="MKU57" s="231"/>
      <c r="MKV57" s="231"/>
      <c r="MKW57" s="229"/>
      <c r="MKX57" s="230"/>
      <c r="MKY57" s="231"/>
      <c r="MKZ57" s="232"/>
      <c r="MLA57" s="233"/>
      <c r="MLB57" s="233"/>
      <c r="MLC57" s="233"/>
      <c r="MLD57" s="233"/>
      <c r="MLE57" s="233"/>
      <c r="MLF57" s="233"/>
      <c r="MLG57" s="231"/>
      <c r="MLH57" s="231"/>
      <c r="MLI57" s="229"/>
      <c r="MLJ57" s="230"/>
      <c r="MLK57" s="231"/>
      <c r="MLL57" s="232"/>
      <c r="MLM57" s="233"/>
      <c r="MLN57" s="233"/>
      <c r="MLO57" s="233"/>
      <c r="MLP57" s="233"/>
      <c r="MLQ57" s="233"/>
      <c r="MLR57" s="233"/>
      <c r="MLS57" s="231"/>
      <c r="MLT57" s="231"/>
      <c r="MLU57" s="229"/>
      <c r="MLV57" s="230"/>
      <c r="MLW57" s="231"/>
      <c r="MLX57" s="232"/>
      <c r="MLY57" s="233"/>
      <c r="MLZ57" s="233"/>
      <c r="MMA57" s="233"/>
      <c r="MMB57" s="233"/>
      <c r="MMC57" s="233"/>
      <c r="MMD57" s="233"/>
      <c r="MME57" s="231"/>
      <c r="MMF57" s="231"/>
      <c r="MMG57" s="229"/>
      <c r="MMH57" s="230"/>
      <c r="MMI57" s="231"/>
      <c r="MMJ57" s="232"/>
      <c r="MMK57" s="233"/>
      <c r="MML57" s="233"/>
      <c r="MMM57" s="233"/>
      <c r="MMN57" s="233"/>
      <c r="MMO57" s="233"/>
      <c r="MMP57" s="233"/>
      <c r="MMQ57" s="231"/>
      <c r="MMR57" s="231"/>
      <c r="MMS57" s="229"/>
      <c r="MMT57" s="230"/>
      <c r="MMU57" s="231"/>
      <c r="MMV57" s="232"/>
      <c r="MMW57" s="233"/>
      <c r="MMX57" s="233"/>
      <c r="MMY57" s="233"/>
      <c r="MMZ57" s="233"/>
      <c r="MNA57" s="233"/>
      <c r="MNB57" s="233"/>
      <c r="MNC57" s="231"/>
      <c r="MND57" s="231"/>
      <c r="MNE57" s="229"/>
      <c r="MNF57" s="230"/>
      <c r="MNG57" s="231"/>
      <c r="MNH57" s="232"/>
      <c r="MNI57" s="233"/>
      <c r="MNJ57" s="233"/>
      <c r="MNK57" s="233"/>
      <c r="MNL57" s="233"/>
      <c r="MNM57" s="233"/>
      <c r="MNN57" s="233"/>
      <c r="MNO57" s="231"/>
      <c r="MNP57" s="231"/>
      <c r="MNQ57" s="229"/>
      <c r="MNR57" s="230"/>
      <c r="MNS57" s="231"/>
      <c r="MNT57" s="232"/>
      <c r="MNU57" s="233"/>
      <c r="MNV57" s="233"/>
      <c r="MNW57" s="233"/>
      <c r="MNX57" s="233"/>
      <c r="MNY57" s="233"/>
      <c r="MNZ57" s="233"/>
      <c r="MOA57" s="231"/>
      <c r="MOB57" s="231"/>
      <c r="MOC57" s="229"/>
      <c r="MOD57" s="230"/>
      <c r="MOE57" s="231"/>
      <c r="MOF57" s="232"/>
      <c r="MOG57" s="233"/>
      <c r="MOH57" s="233"/>
      <c r="MOI57" s="233"/>
      <c r="MOJ57" s="233"/>
      <c r="MOK57" s="233"/>
      <c r="MOL57" s="233"/>
      <c r="MOM57" s="231"/>
      <c r="MON57" s="231"/>
      <c r="MOO57" s="229"/>
      <c r="MOP57" s="230"/>
      <c r="MOQ57" s="231"/>
      <c r="MOR57" s="232"/>
      <c r="MOS57" s="233"/>
      <c r="MOT57" s="233"/>
      <c r="MOU57" s="233"/>
      <c r="MOV57" s="233"/>
      <c r="MOW57" s="233"/>
      <c r="MOX57" s="233"/>
      <c r="MOY57" s="231"/>
      <c r="MOZ57" s="231"/>
      <c r="MPA57" s="229"/>
      <c r="MPB57" s="230"/>
      <c r="MPC57" s="231"/>
      <c r="MPD57" s="232"/>
      <c r="MPE57" s="233"/>
      <c r="MPF57" s="233"/>
      <c r="MPG57" s="233"/>
      <c r="MPH57" s="233"/>
      <c r="MPI57" s="233"/>
      <c r="MPJ57" s="233"/>
      <c r="MPK57" s="231"/>
      <c r="MPL57" s="231"/>
      <c r="MPM57" s="229"/>
      <c r="MPN57" s="230"/>
      <c r="MPO57" s="231"/>
      <c r="MPP57" s="232"/>
      <c r="MPQ57" s="233"/>
      <c r="MPR57" s="233"/>
      <c r="MPS57" s="233"/>
      <c r="MPT57" s="233"/>
      <c r="MPU57" s="233"/>
      <c r="MPV57" s="233"/>
      <c r="MPW57" s="231"/>
      <c r="MPX57" s="231"/>
      <c r="MPY57" s="229"/>
      <c r="MPZ57" s="230"/>
      <c r="MQA57" s="231"/>
      <c r="MQB57" s="232"/>
      <c r="MQC57" s="233"/>
      <c r="MQD57" s="233"/>
      <c r="MQE57" s="233"/>
      <c r="MQF57" s="233"/>
      <c r="MQG57" s="233"/>
      <c r="MQH57" s="233"/>
      <c r="MQI57" s="231"/>
      <c r="MQJ57" s="231"/>
      <c r="MQK57" s="229"/>
      <c r="MQL57" s="230"/>
      <c r="MQM57" s="231"/>
      <c r="MQN57" s="232"/>
      <c r="MQO57" s="233"/>
      <c r="MQP57" s="233"/>
      <c r="MQQ57" s="233"/>
      <c r="MQR57" s="233"/>
      <c r="MQS57" s="233"/>
      <c r="MQT57" s="233"/>
      <c r="MQU57" s="231"/>
      <c r="MQV57" s="231"/>
      <c r="MQW57" s="229"/>
      <c r="MQX57" s="230"/>
      <c r="MQY57" s="231"/>
      <c r="MQZ57" s="232"/>
      <c r="MRA57" s="233"/>
      <c r="MRB57" s="233"/>
      <c r="MRC57" s="233"/>
      <c r="MRD57" s="233"/>
      <c r="MRE57" s="233"/>
      <c r="MRF57" s="233"/>
      <c r="MRG57" s="231"/>
      <c r="MRH57" s="231"/>
      <c r="MRI57" s="229"/>
      <c r="MRJ57" s="230"/>
      <c r="MRK57" s="231"/>
      <c r="MRL57" s="232"/>
      <c r="MRM57" s="233"/>
      <c r="MRN57" s="233"/>
      <c r="MRO57" s="233"/>
      <c r="MRP57" s="233"/>
      <c r="MRQ57" s="233"/>
      <c r="MRR57" s="233"/>
      <c r="MRS57" s="231"/>
      <c r="MRT57" s="231"/>
      <c r="MRU57" s="229"/>
      <c r="MRV57" s="230"/>
      <c r="MRW57" s="231"/>
      <c r="MRX57" s="232"/>
      <c r="MRY57" s="233"/>
      <c r="MRZ57" s="233"/>
      <c r="MSA57" s="233"/>
      <c r="MSB57" s="233"/>
      <c r="MSC57" s="233"/>
      <c r="MSD57" s="233"/>
      <c r="MSE57" s="231"/>
      <c r="MSF57" s="231"/>
      <c r="MSG57" s="229"/>
      <c r="MSH57" s="230"/>
      <c r="MSI57" s="231"/>
      <c r="MSJ57" s="232"/>
      <c r="MSK57" s="233"/>
      <c r="MSL57" s="233"/>
      <c r="MSM57" s="233"/>
      <c r="MSN57" s="233"/>
      <c r="MSO57" s="233"/>
      <c r="MSP57" s="233"/>
      <c r="MSQ57" s="231"/>
      <c r="MSR57" s="231"/>
      <c r="MSS57" s="229"/>
      <c r="MST57" s="230"/>
      <c r="MSU57" s="231"/>
      <c r="MSV57" s="232"/>
      <c r="MSW57" s="233"/>
      <c r="MSX57" s="233"/>
      <c r="MSY57" s="233"/>
      <c r="MSZ57" s="233"/>
      <c r="MTA57" s="233"/>
      <c r="MTB57" s="233"/>
      <c r="MTC57" s="231"/>
      <c r="MTD57" s="231"/>
      <c r="MTE57" s="229"/>
      <c r="MTF57" s="230"/>
      <c r="MTG57" s="231"/>
      <c r="MTH57" s="232"/>
      <c r="MTI57" s="233"/>
      <c r="MTJ57" s="233"/>
      <c r="MTK57" s="233"/>
      <c r="MTL57" s="233"/>
      <c r="MTM57" s="233"/>
      <c r="MTN57" s="233"/>
      <c r="MTO57" s="231"/>
      <c r="MTP57" s="231"/>
      <c r="MTQ57" s="229"/>
      <c r="MTR57" s="230"/>
      <c r="MTS57" s="231"/>
      <c r="MTT57" s="232"/>
      <c r="MTU57" s="233"/>
      <c r="MTV57" s="233"/>
      <c r="MTW57" s="233"/>
      <c r="MTX57" s="233"/>
      <c r="MTY57" s="233"/>
      <c r="MTZ57" s="233"/>
      <c r="MUA57" s="231"/>
      <c r="MUB57" s="231"/>
      <c r="MUC57" s="229"/>
      <c r="MUD57" s="230"/>
      <c r="MUE57" s="231"/>
      <c r="MUF57" s="232"/>
      <c r="MUG57" s="233"/>
      <c r="MUH57" s="233"/>
      <c r="MUI57" s="233"/>
      <c r="MUJ57" s="233"/>
      <c r="MUK57" s="233"/>
      <c r="MUL57" s="233"/>
      <c r="MUM57" s="231"/>
      <c r="MUN57" s="231"/>
      <c r="MUO57" s="229"/>
      <c r="MUP57" s="230"/>
      <c r="MUQ57" s="231"/>
      <c r="MUR57" s="232"/>
      <c r="MUS57" s="233"/>
      <c r="MUT57" s="233"/>
      <c r="MUU57" s="233"/>
      <c r="MUV57" s="233"/>
      <c r="MUW57" s="233"/>
      <c r="MUX57" s="233"/>
      <c r="MUY57" s="231"/>
      <c r="MUZ57" s="231"/>
      <c r="MVA57" s="229"/>
      <c r="MVB57" s="230"/>
      <c r="MVC57" s="231"/>
      <c r="MVD57" s="232"/>
      <c r="MVE57" s="233"/>
      <c r="MVF57" s="233"/>
      <c r="MVG57" s="233"/>
      <c r="MVH57" s="233"/>
      <c r="MVI57" s="233"/>
      <c r="MVJ57" s="233"/>
      <c r="MVK57" s="231"/>
      <c r="MVL57" s="231"/>
      <c r="MVM57" s="229"/>
      <c r="MVN57" s="230"/>
      <c r="MVO57" s="231"/>
      <c r="MVP57" s="232"/>
      <c r="MVQ57" s="233"/>
      <c r="MVR57" s="233"/>
      <c r="MVS57" s="233"/>
      <c r="MVT57" s="233"/>
      <c r="MVU57" s="233"/>
      <c r="MVV57" s="233"/>
      <c r="MVW57" s="231"/>
      <c r="MVX57" s="231"/>
      <c r="MVY57" s="229"/>
      <c r="MVZ57" s="230"/>
      <c r="MWA57" s="231"/>
      <c r="MWB57" s="232"/>
      <c r="MWC57" s="233"/>
      <c r="MWD57" s="233"/>
      <c r="MWE57" s="233"/>
      <c r="MWF57" s="233"/>
      <c r="MWG57" s="233"/>
      <c r="MWH57" s="233"/>
      <c r="MWI57" s="231"/>
      <c r="MWJ57" s="231"/>
      <c r="MWK57" s="229"/>
      <c r="MWL57" s="230"/>
      <c r="MWM57" s="231"/>
      <c r="MWN57" s="232"/>
      <c r="MWO57" s="233"/>
      <c r="MWP57" s="233"/>
      <c r="MWQ57" s="233"/>
      <c r="MWR57" s="233"/>
      <c r="MWS57" s="233"/>
      <c r="MWT57" s="233"/>
      <c r="MWU57" s="231"/>
      <c r="MWV57" s="231"/>
      <c r="MWW57" s="229"/>
      <c r="MWX57" s="230"/>
      <c r="MWY57" s="231"/>
      <c r="MWZ57" s="232"/>
      <c r="MXA57" s="233"/>
      <c r="MXB57" s="233"/>
      <c r="MXC57" s="233"/>
      <c r="MXD57" s="233"/>
      <c r="MXE57" s="233"/>
      <c r="MXF57" s="233"/>
      <c r="MXG57" s="231"/>
      <c r="MXH57" s="231"/>
      <c r="MXI57" s="229"/>
      <c r="MXJ57" s="230"/>
      <c r="MXK57" s="231"/>
      <c r="MXL57" s="232"/>
      <c r="MXM57" s="233"/>
      <c r="MXN57" s="233"/>
      <c r="MXO57" s="233"/>
      <c r="MXP57" s="233"/>
      <c r="MXQ57" s="233"/>
      <c r="MXR57" s="233"/>
      <c r="MXS57" s="231"/>
      <c r="MXT57" s="231"/>
      <c r="MXU57" s="229"/>
      <c r="MXV57" s="230"/>
      <c r="MXW57" s="231"/>
      <c r="MXX57" s="232"/>
      <c r="MXY57" s="233"/>
      <c r="MXZ57" s="233"/>
      <c r="MYA57" s="233"/>
      <c r="MYB57" s="233"/>
      <c r="MYC57" s="233"/>
      <c r="MYD57" s="233"/>
      <c r="MYE57" s="231"/>
      <c r="MYF57" s="231"/>
      <c r="MYG57" s="229"/>
      <c r="MYH57" s="230"/>
      <c r="MYI57" s="231"/>
      <c r="MYJ57" s="232"/>
      <c r="MYK57" s="233"/>
      <c r="MYL57" s="233"/>
      <c r="MYM57" s="233"/>
      <c r="MYN57" s="233"/>
      <c r="MYO57" s="233"/>
      <c r="MYP57" s="233"/>
      <c r="MYQ57" s="231"/>
      <c r="MYR57" s="231"/>
      <c r="MYS57" s="229"/>
      <c r="MYT57" s="230"/>
      <c r="MYU57" s="231"/>
      <c r="MYV57" s="232"/>
      <c r="MYW57" s="233"/>
      <c r="MYX57" s="233"/>
      <c r="MYY57" s="233"/>
      <c r="MYZ57" s="233"/>
      <c r="MZA57" s="233"/>
      <c r="MZB57" s="233"/>
      <c r="MZC57" s="231"/>
      <c r="MZD57" s="231"/>
      <c r="MZE57" s="229"/>
      <c r="MZF57" s="230"/>
      <c r="MZG57" s="231"/>
      <c r="MZH57" s="232"/>
      <c r="MZI57" s="233"/>
      <c r="MZJ57" s="233"/>
      <c r="MZK57" s="233"/>
      <c r="MZL57" s="233"/>
      <c r="MZM57" s="233"/>
      <c r="MZN57" s="233"/>
      <c r="MZO57" s="231"/>
      <c r="MZP57" s="231"/>
      <c r="MZQ57" s="229"/>
      <c r="MZR57" s="230"/>
      <c r="MZS57" s="231"/>
      <c r="MZT57" s="232"/>
      <c r="MZU57" s="233"/>
      <c r="MZV57" s="233"/>
      <c r="MZW57" s="233"/>
      <c r="MZX57" s="233"/>
      <c r="MZY57" s="233"/>
      <c r="MZZ57" s="233"/>
      <c r="NAA57" s="231"/>
      <c r="NAB57" s="231"/>
      <c r="NAC57" s="229"/>
      <c r="NAD57" s="230"/>
      <c r="NAE57" s="231"/>
      <c r="NAF57" s="232"/>
      <c r="NAG57" s="233"/>
      <c r="NAH57" s="233"/>
      <c r="NAI57" s="233"/>
      <c r="NAJ57" s="233"/>
      <c r="NAK57" s="233"/>
      <c r="NAL57" s="233"/>
      <c r="NAM57" s="231"/>
      <c r="NAN57" s="231"/>
      <c r="NAO57" s="229"/>
      <c r="NAP57" s="230"/>
      <c r="NAQ57" s="231"/>
      <c r="NAR57" s="232"/>
      <c r="NAS57" s="233"/>
      <c r="NAT57" s="233"/>
      <c r="NAU57" s="233"/>
      <c r="NAV57" s="233"/>
      <c r="NAW57" s="233"/>
      <c r="NAX57" s="233"/>
      <c r="NAY57" s="231"/>
      <c r="NAZ57" s="231"/>
      <c r="NBA57" s="229"/>
      <c r="NBB57" s="230"/>
      <c r="NBC57" s="231"/>
      <c r="NBD57" s="232"/>
      <c r="NBE57" s="233"/>
      <c r="NBF57" s="233"/>
      <c r="NBG57" s="233"/>
      <c r="NBH57" s="233"/>
      <c r="NBI57" s="233"/>
      <c r="NBJ57" s="233"/>
      <c r="NBK57" s="231"/>
      <c r="NBL57" s="231"/>
      <c r="NBM57" s="229"/>
      <c r="NBN57" s="230"/>
      <c r="NBO57" s="231"/>
      <c r="NBP57" s="232"/>
      <c r="NBQ57" s="233"/>
      <c r="NBR57" s="233"/>
      <c r="NBS57" s="233"/>
      <c r="NBT57" s="233"/>
      <c r="NBU57" s="233"/>
      <c r="NBV57" s="233"/>
      <c r="NBW57" s="231"/>
      <c r="NBX57" s="231"/>
      <c r="NBY57" s="229"/>
      <c r="NBZ57" s="230"/>
      <c r="NCA57" s="231"/>
      <c r="NCB57" s="232"/>
      <c r="NCC57" s="233"/>
      <c r="NCD57" s="233"/>
      <c r="NCE57" s="233"/>
      <c r="NCF57" s="233"/>
      <c r="NCG57" s="233"/>
      <c r="NCH57" s="233"/>
      <c r="NCI57" s="231"/>
      <c r="NCJ57" s="231"/>
      <c r="NCK57" s="229"/>
      <c r="NCL57" s="230"/>
      <c r="NCM57" s="231"/>
      <c r="NCN57" s="232"/>
      <c r="NCO57" s="233"/>
      <c r="NCP57" s="233"/>
      <c r="NCQ57" s="233"/>
      <c r="NCR57" s="233"/>
      <c r="NCS57" s="233"/>
      <c r="NCT57" s="233"/>
      <c r="NCU57" s="231"/>
      <c r="NCV57" s="231"/>
      <c r="NCW57" s="229"/>
      <c r="NCX57" s="230"/>
      <c r="NCY57" s="231"/>
      <c r="NCZ57" s="232"/>
      <c r="NDA57" s="233"/>
      <c r="NDB57" s="233"/>
      <c r="NDC57" s="233"/>
      <c r="NDD57" s="233"/>
      <c r="NDE57" s="233"/>
      <c r="NDF57" s="233"/>
      <c r="NDG57" s="231"/>
      <c r="NDH57" s="231"/>
      <c r="NDI57" s="229"/>
      <c r="NDJ57" s="230"/>
      <c r="NDK57" s="231"/>
      <c r="NDL57" s="232"/>
      <c r="NDM57" s="233"/>
      <c r="NDN57" s="233"/>
      <c r="NDO57" s="233"/>
      <c r="NDP57" s="233"/>
      <c r="NDQ57" s="233"/>
      <c r="NDR57" s="233"/>
      <c r="NDS57" s="231"/>
      <c r="NDT57" s="231"/>
      <c r="NDU57" s="229"/>
      <c r="NDV57" s="230"/>
      <c r="NDW57" s="231"/>
      <c r="NDX57" s="232"/>
      <c r="NDY57" s="233"/>
      <c r="NDZ57" s="233"/>
      <c r="NEA57" s="233"/>
      <c r="NEB57" s="233"/>
      <c r="NEC57" s="233"/>
      <c r="NED57" s="233"/>
      <c r="NEE57" s="231"/>
      <c r="NEF57" s="231"/>
      <c r="NEG57" s="229"/>
      <c r="NEH57" s="230"/>
      <c r="NEI57" s="231"/>
      <c r="NEJ57" s="232"/>
      <c r="NEK57" s="233"/>
      <c r="NEL57" s="233"/>
      <c r="NEM57" s="233"/>
      <c r="NEN57" s="233"/>
      <c r="NEO57" s="233"/>
      <c r="NEP57" s="233"/>
      <c r="NEQ57" s="231"/>
      <c r="NER57" s="231"/>
      <c r="NES57" s="229"/>
      <c r="NET57" s="230"/>
      <c r="NEU57" s="231"/>
      <c r="NEV57" s="232"/>
      <c r="NEW57" s="233"/>
      <c r="NEX57" s="233"/>
      <c r="NEY57" s="233"/>
      <c r="NEZ57" s="233"/>
      <c r="NFA57" s="233"/>
      <c r="NFB57" s="233"/>
      <c r="NFC57" s="231"/>
      <c r="NFD57" s="231"/>
      <c r="NFE57" s="229"/>
      <c r="NFF57" s="230"/>
      <c r="NFG57" s="231"/>
      <c r="NFH57" s="232"/>
      <c r="NFI57" s="233"/>
      <c r="NFJ57" s="233"/>
      <c r="NFK57" s="233"/>
      <c r="NFL57" s="233"/>
      <c r="NFM57" s="233"/>
      <c r="NFN57" s="233"/>
      <c r="NFO57" s="231"/>
      <c r="NFP57" s="231"/>
      <c r="NFQ57" s="229"/>
      <c r="NFR57" s="230"/>
      <c r="NFS57" s="231"/>
      <c r="NFT57" s="232"/>
      <c r="NFU57" s="233"/>
      <c r="NFV57" s="233"/>
      <c r="NFW57" s="233"/>
      <c r="NFX57" s="233"/>
      <c r="NFY57" s="233"/>
      <c r="NFZ57" s="233"/>
      <c r="NGA57" s="231"/>
      <c r="NGB57" s="231"/>
      <c r="NGC57" s="229"/>
      <c r="NGD57" s="230"/>
      <c r="NGE57" s="231"/>
      <c r="NGF57" s="232"/>
      <c r="NGG57" s="233"/>
      <c r="NGH57" s="233"/>
      <c r="NGI57" s="233"/>
      <c r="NGJ57" s="233"/>
      <c r="NGK57" s="233"/>
      <c r="NGL57" s="233"/>
      <c r="NGM57" s="231"/>
      <c r="NGN57" s="231"/>
      <c r="NGO57" s="229"/>
      <c r="NGP57" s="230"/>
      <c r="NGQ57" s="231"/>
      <c r="NGR57" s="232"/>
      <c r="NGS57" s="233"/>
      <c r="NGT57" s="233"/>
      <c r="NGU57" s="233"/>
      <c r="NGV57" s="233"/>
      <c r="NGW57" s="233"/>
      <c r="NGX57" s="233"/>
      <c r="NGY57" s="231"/>
      <c r="NGZ57" s="231"/>
      <c r="NHA57" s="229"/>
      <c r="NHB57" s="230"/>
      <c r="NHC57" s="231"/>
      <c r="NHD57" s="232"/>
      <c r="NHE57" s="233"/>
      <c r="NHF57" s="233"/>
      <c r="NHG57" s="233"/>
      <c r="NHH57" s="233"/>
      <c r="NHI57" s="233"/>
      <c r="NHJ57" s="233"/>
      <c r="NHK57" s="231"/>
      <c r="NHL57" s="231"/>
      <c r="NHM57" s="229"/>
      <c r="NHN57" s="230"/>
      <c r="NHO57" s="231"/>
      <c r="NHP57" s="232"/>
      <c r="NHQ57" s="233"/>
      <c r="NHR57" s="233"/>
      <c r="NHS57" s="233"/>
      <c r="NHT57" s="233"/>
      <c r="NHU57" s="233"/>
      <c r="NHV57" s="233"/>
      <c r="NHW57" s="231"/>
      <c r="NHX57" s="231"/>
      <c r="NHY57" s="229"/>
      <c r="NHZ57" s="230"/>
      <c r="NIA57" s="231"/>
      <c r="NIB57" s="232"/>
      <c r="NIC57" s="233"/>
      <c r="NID57" s="233"/>
      <c r="NIE57" s="233"/>
      <c r="NIF57" s="233"/>
      <c r="NIG57" s="233"/>
      <c r="NIH57" s="233"/>
      <c r="NII57" s="231"/>
      <c r="NIJ57" s="231"/>
      <c r="NIK57" s="229"/>
      <c r="NIL57" s="230"/>
      <c r="NIM57" s="231"/>
      <c r="NIN57" s="232"/>
      <c r="NIO57" s="233"/>
      <c r="NIP57" s="233"/>
      <c r="NIQ57" s="233"/>
      <c r="NIR57" s="233"/>
      <c r="NIS57" s="233"/>
      <c r="NIT57" s="233"/>
      <c r="NIU57" s="231"/>
      <c r="NIV57" s="231"/>
      <c r="NIW57" s="229"/>
      <c r="NIX57" s="230"/>
      <c r="NIY57" s="231"/>
      <c r="NIZ57" s="232"/>
      <c r="NJA57" s="233"/>
      <c r="NJB57" s="233"/>
      <c r="NJC57" s="233"/>
      <c r="NJD57" s="233"/>
      <c r="NJE57" s="233"/>
      <c r="NJF57" s="233"/>
      <c r="NJG57" s="231"/>
      <c r="NJH57" s="231"/>
      <c r="NJI57" s="229"/>
      <c r="NJJ57" s="230"/>
      <c r="NJK57" s="231"/>
      <c r="NJL57" s="232"/>
      <c r="NJM57" s="233"/>
      <c r="NJN57" s="233"/>
      <c r="NJO57" s="233"/>
      <c r="NJP57" s="233"/>
      <c r="NJQ57" s="233"/>
      <c r="NJR57" s="233"/>
      <c r="NJS57" s="231"/>
      <c r="NJT57" s="231"/>
      <c r="NJU57" s="229"/>
      <c r="NJV57" s="230"/>
      <c r="NJW57" s="231"/>
      <c r="NJX57" s="232"/>
      <c r="NJY57" s="233"/>
      <c r="NJZ57" s="233"/>
      <c r="NKA57" s="233"/>
      <c r="NKB57" s="233"/>
      <c r="NKC57" s="233"/>
      <c r="NKD57" s="233"/>
      <c r="NKE57" s="231"/>
      <c r="NKF57" s="231"/>
      <c r="NKG57" s="229"/>
      <c r="NKH57" s="230"/>
      <c r="NKI57" s="231"/>
      <c r="NKJ57" s="232"/>
      <c r="NKK57" s="233"/>
      <c r="NKL57" s="233"/>
      <c r="NKM57" s="233"/>
      <c r="NKN57" s="233"/>
      <c r="NKO57" s="233"/>
      <c r="NKP57" s="233"/>
      <c r="NKQ57" s="231"/>
      <c r="NKR57" s="231"/>
      <c r="NKS57" s="229"/>
      <c r="NKT57" s="230"/>
      <c r="NKU57" s="231"/>
      <c r="NKV57" s="232"/>
      <c r="NKW57" s="233"/>
      <c r="NKX57" s="233"/>
      <c r="NKY57" s="233"/>
      <c r="NKZ57" s="233"/>
      <c r="NLA57" s="233"/>
      <c r="NLB57" s="233"/>
      <c r="NLC57" s="231"/>
      <c r="NLD57" s="231"/>
      <c r="NLE57" s="229"/>
      <c r="NLF57" s="230"/>
      <c r="NLG57" s="231"/>
      <c r="NLH57" s="232"/>
      <c r="NLI57" s="233"/>
      <c r="NLJ57" s="233"/>
      <c r="NLK57" s="233"/>
      <c r="NLL57" s="233"/>
      <c r="NLM57" s="233"/>
      <c r="NLN57" s="233"/>
      <c r="NLO57" s="231"/>
      <c r="NLP57" s="231"/>
      <c r="NLQ57" s="229"/>
      <c r="NLR57" s="230"/>
      <c r="NLS57" s="231"/>
      <c r="NLT57" s="232"/>
      <c r="NLU57" s="233"/>
      <c r="NLV57" s="233"/>
      <c r="NLW57" s="233"/>
      <c r="NLX57" s="233"/>
      <c r="NLY57" s="233"/>
      <c r="NLZ57" s="233"/>
      <c r="NMA57" s="231"/>
      <c r="NMB57" s="231"/>
      <c r="NMC57" s="229"/>
      <c r="NMD57" s="230"/>
      <c r="NME57" s="231"/>
      <c r="NMF57" s="232"/>
      <c r="NMG57" s="233"/>
      <c r="NMH57" s="233"/>
      <c r="NMI57" s="233"/>
      <c r="NMJ57" s="233"/>
      <c r="NMK57" s="233"/>
      <c r="NML57" s="233"/>
      <c r="NMM57" s="231"/>
      <c r="NMN57" s="231"/>
      <c r="NMO57" s="229"/>
      <c r="NMP57" s="230"/>
      <c r="NMQ57" s="231"/>
      <c r="NMR57" s="232"/>
      <c r="NMS57" s="233"/>
      <c r="NMT57" s="233"/>
      <c r="NMU57" s="233"/>
      <c r="NMV57" s="233"/>
      <c r="NMW57" s="233"/>
      <c r="NMX57" s="233"/>
      <c r="NMY57" s="231"/>
      <c r="NMZ57" s="231"/>
      <c r="NNA57" s="229"/>
      <c r="NNB57" s="230"/>
      <c r="NNC57" s="231"/>
      <c r="NND57" s="232"/>
      <c r="NNE57" s="233"/>
      <c r="NNF57" s="233"/>
      <c r="NNG57" s="233"/>
      <c r="NNH57" s="233"/>
      <c r="NNI57" s="233"/>
      <c r="NNJ57" s="233"/>
      <c r="NNK57" s="231"/>
      <c r="NNL57" s="231"/>
      <c r="NNM57" s="229"/>
      <c r="NNN57" s="230"/>
      <c r="NNO57" s="231"/>
      <c r="NNP57" s="232"/>
      <c r="NNQ57" s="233"/>
      <c r="NNR57" s="233"/>
      <c r="NNS57" s="233"/>
      <c r="NNT57" s="233"/>
      <c r="NNU57" s="233"/>
      <c r="NNV57" s="233"/>
      <c r="NNW57" s="231"/>
      <c r="NNX57" s="231"/>
      <c r="NNY57" s="229"/>
      <c r="NNZ57" s="230"/>
      <c r="NOA57" s="231"/>
      <c r="NOB57" s="232"/>
      <c r="NOC57" s="233"/>
      <c r="NOD57" s="233"/>
      <c r="NOE57" s="233"/>
      <c r="NOF57" s="233"/>
      <c r="NOG57" s="233"/>
      <c r="NOH57" s="233"/>
      <c r="NOI57" s="231"/>
      <c r="NOJ57" s="231"/>
      <c r="NOK57" s="229"/>
      <c r="NOL57" s="230"/>
      <c r="NOM57" s="231"/>
      <c r="NON57" s="232"/>
      <c r="NOO57" s="233"/>
      <c r="NOP57" s="233"/>
      <c r="NOQ57" s="233"/>
      <c r="NOR57" s="233"/>
      <c r="NOS57" s="233"/>
      <c r="NOT57" s="233"/>
      <c r="NOU57" s="231"/>
      <c r="NOV57" s="231"/>
      <c r="NOW57" s="229"/>
      <c r="NOX57" s="230"/>
      <c r="NOY57" s="231"/>
      <c r="NOZ57" s="232"/>
      <c r="NPA57" s="233"/>
      <c r="NPB57" s="233"/>
      <c r="NPC57" s="233"/>
      <c r="NPD57" s="233"/>
      <c r="NPE57" s="233"/>
      <c r="NPF57" s="233"/>
      <c r="NPG57" s="231"/>
      <c r="NPH57" s="231"/>
      <c r="NPI57" s="229"/>
      <c r="NPJ57" s="230"/>
      <c r="NPK57" s="231"/>
      <c r="NPL57" s="232"/>
      <c r="NPM57" s="233"/>
      <c r="NPN57" s="233"/>
      <c r="NPO57" s="233"/>
      <c r="NPP57" s="233"/>
      <c r="NPQ57" s="233"/>
      <c r="NPR57" s="233"/>
      <c r="NPS57" s="231"/>
      <c r="NPT57" s="231"/>
      <c r="NPU57" s="229"/>
      <c r="NPV57" s="230"/>
      <c r="NPW57" s="231"/>
      <c r="NPX57" s="232"/>
      <c r="NPY57" s="233"/>
      <c r="NPZ57" s="233"/>
      <c r="NQA57" s="233"/>
      <c r="NQB57" s="233"/>
      <c r="NQC57" s="233"/>
      <c r="NQD57" s="233"/>
      <c r="NQE57" s="231"/>
      <c r="NQF57" s="231"/>
      <c r="NQG57" s="229"/>
      <c r="NQH57" s="230"/>
      <c r="NQI57" s="231"/>
      <c r="NQJ57" s="232"/>
      <c r="NQK57" s="233"/>
      <c r="NQL57" s="233"/>
      <c r="NQM57" s="233"/>
      <c r="NQN57" s="233"/>
      <c r="NQO57" s="233"/>
      <c r="NQP57" s="233"/>
      <c r="NQQ57" s="231"/>
      <c r="NQR57" s="231"/>
      <c r="NQS57" s="229"/>
      <c r="NQT57" s="230"/>
      <c r="NQU57" s="231"/>
      <c r="NQV57" s="232"/>
      <c r="NQW57" s="233"/>
      <c r="NQX57" s="233"/>
      <c r="NQY57" s="233"/>
      <c r="NQZ57" s="233"/>
      <c r="NRA57" s="233"/>
      <c r="NRB57" s="233"/>
      <c r="NRC57" s="231"/>
      <c r="NRD57" s="231"/>
      <c r="NRE57" s="229"/>
      <c r="NRF57" s="230"/>
      <c r="NRG57" s="231"/>
      <c r="NRH57" s="232"/>
      <c r="NRI57" s="233"/>
      <c r="NRJ57" s="233"/>
      <c r="NRK57" s="233"/>
      <c r="NRL57" s="233"/>
      <c r="NRM57" s="233"/>
      <c r="NRN57" s="233"/>
      <c r="NRO57" s="231"/>
      <c r="NRP57" s="231"/>
      <c r="NRQ57" s="229"/>
      <c r="NRR57" s="230"/>
      <c r="NRS57" s="231"/>
      <c r="NRT57" s="232"/>
      <c r="NRU57" s="233"/>
      <c r="NRV57" s="233"/>
      <c r="NRW57" s="233"/>
      <c r="NRX57" s="233"/>
      <c r="NRY57" s="233"/>
      <c r="NRZ57" s="233"/>
      <c r="NSA57" s="231"/>
      <c r="NSB57" s="231"/>
      <c r="NSC57" s="229"/>
      <c r="NSD57" s="230"/>
      <c r="NSE57" s="231"/>
      <c r="NSF57" s="232"/>
      <c r="NSG57" s="233"/>
      <c r="NSH57" s="233"/>
      <c r="NSI57" s="233"/>
      <c r="NSJ57" s="233"/>
      <c r="NSK57" s="233"/>
      <c r="NSL57" s="233"/>
      <c r="NSM57" s="231"/>
      <c r="NSN57" s="231"/>
      <c r="NSO57" s="229"/>
      <c r="NSP57" s="230"/>
      <c r="NSQ57" s="231"/>
      <c r="NSR57" s="232"/>
      <c r="NSS57" s="233"/>
      <c r="NST57" s="233"/>
      <c r="NSU57" s="233"/>
      <c r="NSV57" s="233"/>
      <c r="NSW57" s="233"/>
      <c r="NSX57" s="233"/>
      <c r="NSY57" s="231"/>
      <c r="NSZ57" s="231"/>
      <c r="NTA57" s="229"/>
      <c r="NTB57" s="230"/>
      <c r="NTC57" s="231"/>
      <c r="NTD57" s="232"/>
      <c r="NTE57" s="233"/>
      <c r="NTF57" s="233"/>
      <c r="NTG57" s="233"/>
      <c r="NTH57" s="233"/>
      <c r="NTI57" s="233"/>
      <c r="NTJ57" s="233"/>
      <c r="NTK57" s="231"/>
      <c r="NTL57" s="231"/>
      <c r="NTM57" s="229"/>
      <c r="NTN57" s="230"/>
      <c r="NTO57" s="231"/>
      <c r="NTP57" s="232"/>
      <c r="NTQ57" s="233"/>
      <c r="NTR57" s="233"/>
      <c r="NTS57" s="233"/>
      <c r="NTT57" s="233"/>
      <c r="NTU57" s="233"/>
      <c r="NTV57" s="233"/>
      <c r="NTW57" s="231"/>
      <c r="NTX57" s="231"/>
      <c r="NTY57" s="229"/>
      <c r="NTZ57" s="230"/>
      <c r="NUA57" s="231"/>
      <c r="NUB57" s="232"/>
      <c r="NUC57" s="233"/>
      <c r="NUD57" s="233"/>
      <c r="NUE57" s="233"/>
      <c r="NUF57" s="233"/>
      <c r="NUG57" s="233"/>
      <c r="NUH57" s="233"/>
      <c r="NUI57" s="231"/>
      <c r="NUJ57" s="231"/>
      <c r="NUK57" s="229"/>
      <c r="NUL57" s="230"/>
      <c r="NUM57" s="231"/>
      <c r="NUN57" s="232"/>
      <c r="NUO57" s="233"/>
      <c r="NUP57" s="233"/>
      <c r="NUQ57" s="233"/>
      <c r="NUR57" s="233"/>
      <c r="NUS57" s="233"/>
      <c r="NUT57" s="233"/>
      <c r="NUU57" s="231"/>
      <c r="NUV57" s="231"/>
      <c r="NUW57" s="229"/>
      <c r="NUX57" s="230"/>
      <c r="NUY57" s="231"/>
      <c r="NUZ57" s="232"/>
      <c r="NVA57" s="233"/>
      <c r="NVB57" s="233"/>
      <c r="NVC57" s="233"/>
      <c r="NVD57" s="233"/>
      <c r="NVE57" s="233"/>
      <c r="NVF57" s="233"/>
      <c r="NVG57" s="231"/>
      <c r="NVH57" s="231"/>
      <c r="NVI57" s="229"/>
      <c r="NVJ57" s="230"/>
      <c r="NVK57" s="231"/>
      <c r="NVL57" s="232"/>
      <c r="NVM57" s="233"/>
      <c r="NVN57" s="233"/>
      <c r="NVO57" s="233"/>
      <c r="NVP57" s="233"/>
      <c r="NVQ57" s="233"/>
      <c r="NVR57" s="233"/>
      <c r="NVS57" s="231"/>
      <c r="NVT57" s="231"/>
      <c r="NVU57" s="229"/>
      <c r="NVV57" s="230"/>
      <c r="NVW57" s="231"/>
      <c r="NVX57" s="232"/>
      <c r="NVY57" s="233"/>
      <c r="NVZ57" s="233"/>
      <c r="NWA57" s="233"/>
      <c r="NWB57" s="233"/>
      <c r="NWC57" s="233"/>
      <c r="NWD57" s="233"/>
      <c r="NWE57" s="231"/>
      <c r="NWF57" s="231"/>
      <c r="NWG57" s="229"/>
      <c r="NWH57" s="230"/>
      <c r="NWI57" s="231"/>
      <c r="NWJ57" s="232"/>
      <c r="NWK57" s="233"/>
      <c r="NWL57" s="233"/>
      <c r="NWM57" s="233"/>
      <c r="NWN57" s="233"/>
      <c r="NWO57" s="233"/>
      <c r="NWP57" s="233"/>
      <c r="NWQ57" s="231"/>
      <c r="NWR57" s="231"/>
      <c r="NWS57" s="229"/>
      <c r="NWT57" s="230"/>
      <c r="NWU57" s="231"/>
      <c r="NWV57" s="232"/>
      <c r="NWW57" s="233"/>
      <c r="NWX57" s="233"/>
      <c r="NWY57" s="233"/>
      <c r="NWZ57" s="233"/>
      <c r="NXA57" s="233"/>
      <c r="NXB57" s="233"/>
      <c r="NXC57" s="231"/>
      <c r="NXD57" s="231"/>
      <c r="NXE57" s="229"/>
      <c r="NXF57" s="230"/>
      <c r="NXG57" s="231"/>
      <c r="NXH57" s="232"/>
      <c r="NXI57" s="233"/>
      <c r="NXJ57" s="233"/>
      <c r="NXK57" s="233"/>
      <c r="NXL57" s="233"/>
      <c r="NXM57" s="233"/>
      <c r="NXN57" s="233"/>
      <c r="NXO57" s="231"/>
      <c r="NXP57" s="231"/>
      <c r="NXQ57" s="229"/>
      <c r="NXR57" s="230"/>
      <c r="NXS57" s="231"/>
      <c r="NXT57" s="232"/>
      <c r="NXU57" s="233"/>
      <c r="NXV57" s="233"/>
      <c r="NXW57" s="233"/>
      <c r="NXX57" s="233"/>
      <c r="NXY57" s="233"/>
      <c r="NXZ57" s="233"/>
      <c r="NYA57" s="231"/>
      <c r="NYB57" s="231"/>
      <c r="NYC57" s="229"/>
      <c r="NYD57" s="230"/>
      <c r="NYE57" s="231"/>
      <c r="NYF57" s="232"/>
      <c r="NYG57" s="233"/>
      <c r="NYH57" s="233"/>
      <c r="NYI57" s="233"/>
      <c r="NYJ57" s="233"/>
      <c r="NYK57" s="233"/>
      <c r="NYL57" s="233"/>
      <c r="NYM57" s="231"/>
      <c r="NYN57" s="231"/>
      <c r="NYO57" s="229"/>
      <c r="NYP57" s="230"/>
      <c r="NYQ57" s="231"/>
      <c r="NYR57" s="232"/>
      <c r="NYS57" s="233"/>
      <c r="NYT57" s="233"/>
      <c r="NYU57" s="233"/>
      <c r="NYV57" s="233"/>
      <c r="NYW57" s="233"/>
      <c r="NYX57" s="233"/>
      <c r="NYY57" s="231"/>
      <c r="NYZ57" s="231"/>
      <c r="NZA57" s="229"/>
      <c r="NZB57" s="230"/>
      <c r="NZC57" s="231"/>
      <c r="NZD57" s="232"/>
      <c r="NZE57" s="233"/>
      <c r="NZF57" s="233"/>
      <c r="NZG57" s="233"/>
      <c r="NZH57" s="233"/>
      <c r="NZI57" s="233"/>
      <c r="NZJ57" s="233"/>
      <c r="NZK57" s="231"/>
      <c r="NZL57" s="231"/>
      <c r="NZM57" s="229"/>
      <c r="NZN57" s="230"/>
      <c r="NZO57" s="231"/>
      <c r="NZP57" s="232"/>
      <c r="NZQ57" s="233"/>
      <c r="NZR57" s="233"/>
      <c r="NZS57" s="233"/>
      <c r="NZT57" s="233"/>
      <c r="NZU57" s="233"/>
      <c r="NZV57" s="233"/>
      <c r="NZW57" s="231"/>
      <c r="NZX57" s="231"/>
      <c r="NZY57" s="229"/>
      <c r="NZZ57" s="230"/>
      <c r="OAA57" s="231"/>
      <c r="OAB57" s="232"/>
      <c r="OAC57" s="233"/>
      <c r="OAD57" s="233"/>
      <c r="OAE57" s="233"/>
      <c r="OAF57" s="233"/>
      <c r="OAG57" s="233"/>
      <c r="OAH57" s="233"/>
      <c r="OAI57" s="231"/>
      <c r="OAJ57" s="231"/>
      <c r="OAK57" s="229"/>
      <c r="OAL57" s="230"/>
      <c r="OAM57" s="231"/>
      <c r="OAN57" s="232"/>
      <c r="OAO57" s="233"/>
      <c r="OAP57" s="233"/>
      <c r="OAQ57" s="233"/>
      <c r="OAR57" s="233"/>
      <c r="OAS57" s="233"/>
      <c r="OAT57" s="233"/>
      <c r="OAU57" s="231"/>
      <c r="OAV57" s="231"/>
      <c r="OAW57" s="229"/>
      <c r="OAX57" s="230"/>
      <c r="OAY57" s="231"/>
      <c r="OAZ57" s="232"/>
      <c r="OBA57" s="233"/>
      <c r="OBB57" s="233"/>
      <c r="OBC57" s="233"/>
      <c r="OBD57" s="233"/>
      <c r="OBE57" s="233"/>
      <c r="OBF57" s="233"/>
      <c r="OBG57" s="231"/>
      <c r="OBH57" s="231"/>
      <c r="OBI57" s="229"/>
      <c r="OBJ57" s="230"/>
      <c r="OBK57" s="231"/>
      <c r="OBL57" s="232"/>
      <c r="OBM57" s="233"/>
      <c r="OBN57" s="233"/>
      <c r="OBO57" s="233"/>
      <c r="OBP57" s="233"/>
      <c r="OBQ57" s="233"/>
      <c r="OBR57" s="233"/>
      <c r="OBS57" s="231"/>
      <c r="OBT57" s="231"/>
      <c r="OBU57" s="229"/>
      <c r="OBV57" s="230"/>
      <c r="OBW57" s="231"/>
      <c r="OBX57" s="232"/>
      <c r="OBY57" s="233"/>
      <c r="OBZ57" s="233"/>
      <c r="OCA57" s="233"/>
      <c r="OCB57" s="233"/>
      <c r="OCC57" s="233"/>
      <c r="OCD57" s="233"/>
      <c r="OCE57" s="231"/>
      <c r="OCF57" s="231"/>
      <c r="OCG57" s="229"/>
      <c r="OCH57" s="230"/>
      <c r="OCI57" s="231"/>
      <c r="OCJ57" s="232"/>
      <c r="OCK57" s="233"/>
      <c r="OCL57" s="233"/>
      <c r="OCM57" s="233"/>
      <c r="OCN57" s="233"/>
      <c r="OCO57" s="233"/>
      <c r="OCP57" s="233"/>
      <c r="OCQ57" s="231"/>
      <c r="OCR57" s="231"/>
      <c r="OCS57" s="229"/>
      <c r="OCT57" s="230"/>
      <c r="OCU57" s="231"/>
      <c r="OCV57" s="232"/>
      <c r="OCW57" s="233"/>
      <c r="OCX57" s="233"/>
      <c r="OCY57" s="233"/>
      <c r="OCZ57" s="233"/>
      <c r="ODA57" s="233"/>
      <c r="ODB57" s="233"/>
      <c r="ODC57" s="231"/>
      <c r="ODD57" s="231"/>
      <c r="ODE57" s="229"/>
      <c r="ODF57" s="230"/>
      <c r="ODG57" s="231"/>
      <c r="ODH57" s="232"/>
      <c r="ODI57" s="233"/>
      <c r="ODJ57" s="233"/>
      <c r="ODK57" s="233"/>
      <c r="ODL57" s="233"/>
      <c r="ODM57" s="233"/>
      <c r="ODN57" s="233"/>
      <c r="ODO57" s="231"/>
      <c r="ODP57" s="231"/>
      <c r="ODQ57" s="229"/>
      <c r="ODR57" s="230"/>
      <c r="ODS57" s="231"/>
      <c r="ODT57" s="232"/>
      <c r="ODU57" s="233"/>
      <c r="ODV57" s="233"/>
      <c r="ODW57" s="233"/>
      <c r="ODX57" s="233"/>
      <c r="ODY57" s="233"/>
      <c r="ODZ57" s="233"/>
      <c r="OEA57" s="231"/>
      <c r="OEB57" s="231"/>
      <c r="OEC57" s="229"/>
      <c r="OED57" s="230"/>
      <c r="OEE57" s="231"/>
      <c r="OEF57" s="232"/>
      <c r="OEG57" s="233"/>
      <c r="OEH57" s="233"/>
      <c r="OEI57" s="233"/>
      <c r="OEJ57" s="233"/>
      <c r="OEK57" s="233"/>
      <c r="OEL57" s="233"/>
      <c r="OEM57" s="231"/>
      <c r="OEN57" s="231"/>
      <c r="OEO57" s="229"/>
      <c r="OEP57" s="230"/>
      <c r="OEQ57" s="231"/>
      <c r="OER57" s="232"/>
      <c r="OES57" s="233"/>
      <c r="OET57" s="233"/>
      <c r="OEU57" s="233"/>
      <c r="OEV57" s="233"/>
      <c r="OEW57" s="233"/>
      <c r="OEX57" s="233"/>
      <c r="OEY57" s="231"/>
      <c r="OEZ57" s="231"/>
      <c r="OFA57" s="229"/>
      <c r="OFB57" s="230"/>
      <c r="OFC57" s="231"/>
      <c r="OFD57" s="232"/>
      <c r="OFE57" s="233"/>
      <c r="OFF57" s="233"/>
      <c r="OFG57" s="233"/>
      <c r="OFH57" s="233"/>
      <c r="OFI57" s="233"/>
      <c r="OFJ57" s="233"/>
      <c r="OFK57" s="231"/>
      <c r="OFL57" s="231"/>
      <c r="OFM57" s="229"/>
      <c r="OFN57" s="230"/>
      <c r="OFO57" s="231"/>
      <c r="OFP57" s="232"/>
      <c r="OFQ57" s="233"/>
      <c r="OFR57" s="233"/>
      <c r="OFS57" s="233"/>
      <c r="OFT57" s="233"/>
      <c r="OFU57" s="233"/>
      <c r="OFV57" s="233"/>
      <c r="OFW57" s="231"/>
      <c r="OFX57" s="231"/>
      <c r="OFY57" s="229"/>
      <c r="OFZ57" s="230"/>
      <c r="OGA57" s="231"/>
      <c r="OGB57" s="232"/>
      <c r="OGC57" s="233"/>
      <c r="OGD57" s="233"/>
      <c r="OGE57" s="233"/>
      <c r="OGF57" s="233"/>
      <c r="OGG57" s="233"/>
      <c r="OGH57" s="233"/>
      <c r="OGI57" s="231"/>
      <c r="OGJ57" s="231"/>
      <c r="OGK57" s="229"/>
      <c r="OGL57" s="230"/>
      <c r="OGM57" s="231"/>
      <c r="OGN57" s="232"/>
      <c r="OGO57" s="233"/>
      <c r="OGP57" s="233"/>
      <c r="OGQ57" s="233"/>
      <c r="OGR57" s="233"/>
      <c r="OGS57" s="233"/>
      <c r="OGT57" s="233"/>
      <c r="OGU57" s="231"/>
      <c r="OGV57" s="231"/>
      <c r="OGW57" s="229"/>
      <c r="OGX57" s="230"/>
      <c r="OGY57" s="231"/>
      <c r="OGZ57" s="232"/>
      <c r="OHA57" s="233"/>
      <c r="OHB57" s="233"/>
      <c r="OHC57" s="233"/>
      <c r="OHD57" s="233"/>
      <c r="OHE57" s="233"/>
      <c r="OHF57" s="233"/>
      <c r="OHG57" s="231"/>
      <c r="OHH57" s="231"/>
      <c r="OHI57" s="229"/>
      <c r="OHJ57" s="230"/>
      <c r="OHK57" s="231"/>
      <c r="OHL57" s="232"/>
      <c r="OHM57" s="233"/>
      <c r="OHN57" s="233"/>
      <c r="OHO57" s="233"/>
      <c r="OHP57" s="233"/>
      <c r="OHQ57" s="233"/>
      <c r="OHR57" s="233"/>
      <c r="OHS57" s="231"/>
      <c r="OHT57" s="231"/>
      <c r="OHU57" s="229"/>
      <c r="OHV57" s="230"/>
      <c r="OHW57" s="231"/>
      <c r="OHX57" s="232"/>
      <c r="OHY57" s="233"/>
      <c r="OHZ57" s="233"/>
      <c r="OIA57" s="233"/>
      <c r="OIB57" s="233"/>
      <c r="OIC57" s="233"/>
      <c r="OID57" s="233"/>
      <c r="OIE57" s="231"/>
      <c r="OIF57" s="231"/>
      <c r="OIG57" s="229"/>
      <c r="OIH57" s="230"/>
      <c r="OII57" s="231"/>
      <c r="OIJ57" s="232"/>
      <c r="OIK57" s="233"/>
      <c r="OIL57" s="233"/>
      <c r="OIM57" s="233"/>
      <c r="OIN57" s="233"/>
      <c r="OIO57" s="233"/>
      <c r="OIP57" s="233"/>
      <c r="OIQ57" s="231"/>
      <c r="OIR57" s="231"/>
      <c r="OIS57" s="229"/>
      <c r="OIT57" s="230"/>
      <c r="OIU57" s="231"/>
      <c r="OIV57" s="232"/>
      <c r="OIW57" s="233"/>
      <c r="OIX57" s="233"/>
      <c r="OIY57" s="233"/>
      <c r="OIZ57" s="233"/>
      <c r="OJA57" s="233"/>
      <c r="OJB57" s="233"/>
      <c r="OJC57" s="231"/>
      <c r="OJD57" s="231"/>
      <c r="OJE57" s="229"/>
      <c r="OJF57" s="230"/>
      <c r="OJG57" s="231"/>
      <c r="OJH57" s="232"/>
      <c r="OJI57" s="233"/>
      <c r="OJJ57" s="233"/>
      <c r="OJK57" s="233"/>
      <c r="OJL57" s="233"/>
      <c r="OJM57" s="233"/>
      <c r="OJN57" s="233"/>
      <c r="OJO57" s="231"/>
      <c r="OJP57" s="231"/>
      <c r="OJQ57" s="229"/>
      <c r="OJR57" s="230"/>
      <c r="OJS57" s="231"/>
      <c r="OJT57" s="232"/>
      <c r="OJU57" s="233"/>
      <c r="OJV57" s="233"/>
      <c r="OJW57" s="233"/>
      <c r="OJX57" s="233"/>
      <c r="OJY57" s="233"/>
      <c r="OJZ57" s="233"/>
      <c r="OKA57" s="231"/>
      <c r="OKB57" s="231"/>
      <c r="OKC57" s="229"/>
      <c r="OKD57" s="230"/>
      <c r="OKE57" s="231"/>
      <c r="OKF57" s="232"/>
      <c r="OKG57" s="233"/>
      <c r="OKH57" s="233"/>
      <c r="OKI57" s="233"/>
      <c r="OKJ57" s="233"/>
      <c r="OKK57" s="233"/>
      <c r="OKL57" s="233"/>
      <c r="OKM57" s="231"/>
      <c r="OKN57" s="231"/>
      <c r="OKO57" s="229"/>
      <c r="OKP57" s="230"/>
      <c r="OKQ57" s="231"/>
      <c r="OKR57" s="232"/>
      <c r="OKS57" s="233"/>
      <c r="OKT57" s="233"/>
      <c r="OKU57" s="233"/>
      <c r="OKV57" s="233"/>
      <c r="OKW57" s="233"/>
      <c r="OKX57" s="233"/>
      <c r="OKY57" s="231"/>
      <c r="OKZ57" s="231"/>
      <c r="OLA57" s="229"/>
      <c r="OLB57" s="230"/>
      <c r="OLC57" s="231"/>
      <c r="OLD57" s="232"/>
      <c r="OLE57" s="233"/>
      <c r="OLF57" s="233"/>
      <c r="OLG57" s="233"/>
      <c r="OLH57" s="233"/>
      <c r="OLI57" s="233"/>
      <c r="OLJ57" s="233"/>
      <c r="OLK57" s="231"/>
      <c r="OLL57" s="231"/>
      <c r="OLM57" s="229"/>
      <c r="OLN57" s="230"/>
      <c r="OLO57" s="231"/>
      <c r="OLP57" s="232"/>
      <c r="OLQ57" s="233"/>
      <c r="OLR57" s="233"/>
      <c r="OLS57" s="233"/>
      <c r="OLT57" s="233"/>
      <c r="OLU57" s="233"/>
      <c r="OLV57" s="233"/>
      <c r="OLW57" s="231"/>
      <c r="OLX57" s="231"/>
      <c r="OLY57" s="229"/>
      <c r="OLZ57" s="230"/>
      <c r="OMA57" s="231"/>
      <c r="OMB57" s="232"/>
      <c r="OMC57" s="233"/>
      <c r="OMD57" s="233"/>
      <c r="OME57" s="233"/>
      <c r="OMF57" s="233"/>
      <c r="OMG57" s="233"/>
      <c r="OMH57" s="233"/>
      <c r="OMI57" s="231"/>
      <c r="OMJ57" s="231"/>
      <c r="OMK57" s="229"/>
      <c r="OML57" s="230"/>
      <c r="OMM57" s="231"/>
      <c r="OMN57" s="232"/>
      <c r="OMO57" s="233"/>
      <c r="OMP57" s="233"/>
      <c r="OMQ57" s="233"/>
      <c r="OMR57" s="233"/>
      <c r="OMS57" s="233"/>
      <c r="OMT57" s="233"/>
      <c r="OMU57" s="231"/>
      <c r="OMV57" s="231"/>
      <c r="OMW57" s="229"/>
      <c r="OMX57" s="230"/>
      <c r="OMY57" s="231"/>
      <c r="OMZ57" s="232"/>
      <c r="ONA57" s="233"/>
      <c r="ONB57" s="233"/>
      <c r="ONC57" s="233"/>
      <c r="OND57" s="233"/>
      <c r="ONE57" s="233"/>
      <c r="ONF57" s="233"/>
      <c r="ONG57" s="231"/>
      <c r="ONH57" s="231"/>
      <c r="ONI57" s="229"/>
      <c r="ONJ57" s="230"/>
      <c r="ONK57" s="231"/>
      <c r="ONL57" s="232"/>
      <c r="ONM57" s="233"/>
      <c r="ONN57" s="233"/>
      <c r="ONO57" s="233"/>
      <c r="ONP57" s="233"/>
      <c r="ONQ57" s="233"/>
      <c r="ONR57" s="233"/>
      <c r="ONS57" s="231"/>
      <c r="ONT57" s="231"/>
      <c r="ONU57" s="229"/>
      <c r="ONV57" s="230"/>
      <c r="ONW57" s="231"/>
      <c r="ONX57" s="232"/>
      <c r="ONY57" s="233"/>
      <c r="ONZ57" s="233"/>
      <c r="OOA57" s="233"/>
      <c r="OOB57" s="233"/>
      <c r="OOC57" s="233"/>
      <c r="OOD57" s="233"/>
      <c r="OOE57" s="231"/>
      <c r="OOF57" s="231"/>
      <c r="OOG57" s="229"/>
      <c r="OOH57" s="230"/>
      <c r="OOI57" s="231"/>
      <c r="OOJ57" s="232"/>
      <c r="OOK57" s="233"/>
      <c r="OOL57" s="233"/>
      <c r="OOM57" s="233"/>
      <c r="OON57" s="233"/>
      <c r="OOO57" s="233"/>
      <c r="OOP57" s="233"/>
      <c r="OOQ57" s="231"/>
      <c r="OOR57" s="231"/>
      <c r="OOS57" s="229"/>
      <c r="OOT57" s="230"/>
      <c r="OOU57" s="231"/>
      <c r="OOV57" s="232"/>
      <c r="OOW57" s="233"/>
      <c r="OOX57" s="233"/>
      <c r="OOY57" s="233"/>
      <c r="OOZ57" s="233"/>
      <c r="OPA57" s="233"/>
      <c r="OPB57" s="233"/>
      <c r="OPC57" s="231"/>
      <c r="OPD57" s="231"/>
      <c r="OPE57" s="229"/>
      <c r="OPF57" s="230"/>
      <c r="OPG57" s="231"/>
      <c r="OPH57" s="232"/>
      <c r="OPI57" s="233"/>
      <c r="OPJ57" s="233"/>
      <c r="OPK57" s="233"/>
      <c r="OPL57" s="233"/>
      <c r="OPM57" s="233"/>
      <c r="OPN57" s="233"/>
      <c r="OPO57" s="231"/>
      <c r="OPP57" s="231"/>
      <c r="OPQ57" s="229"/>
      <c r="OPR57" s="230"/>
      <c r="OPS57" s="231"/>
      <c r="OPT57" s="232"/>
      <c r="OPU57" s="233"/>
      <c r="OPV57" s="233"/>
      <c r="OPW57" s="233"/>
      <c r="OPX57" s="233"/>
      <c r="OPY57" s="233"/>
      <c r="OPZ57" s="233"/>
      <c r="OQA57" s="231"/>
      <c r="OQB57" s="231"/>
      <c r="OQC57" s="229"/>
      <c r="OQD57" s="230"/>
      <c r="OQE57" s="231"/>
      <c r="OQF57" s="232"/>
      <c r="OQG57" s="233"/>
      <c r="OQH57" s="233"/>
      <c r="OQI57" s="233"/>
      <c r="OQJ57" s="233"/>
      <c r="OQK57" s="233"/>
      <c r="OQL57" s="233"/>
      <c r="OQM57" s="231"/>
      <c r="OQN57" s="231"/>
      <c r="OQO57" s="229"/>
      <c r="OQP57" s="230"/>
      <c r="OQQ57" s="231"/>
      <c r="OQR57" s="232"/>
      <c r="OQS57" s="233"/>
      <c r="OQT57" s="233"/>
      <c r="OQU57" s="233"/>
      <c r="OQV57" s="233"/>
      <c r="OQW57" s="233"/>
      <c r="OQX57" s="233"/>
      <c r="OQY57" s="231"/>
      <c r="OQZ57" s="231"/>
      <c r="ORA57" s="229"/>
      <c r="ORB57" s="230"/>
      <c r="ORC57" s="231"/>
      <c r="ORD57" s="232"/>
      <c r="ORE57" s="233"/>
      <c r="ORF57" s="233"/>
      <c r="ORG57" s="233"/>
      <c r="ORH57" s="233"/>
      <c r="ORI57" s="233"/>
      <c r="ORJ57" s="233"/>
      <c r="ORK57" s="231"/>
      <c r="ORL57" s="231"/>
      <c r="ORM57" s="229"/>
      <c r="ORN57" s="230"/>
      <c r="ORO57" s="231"/>
      <c r="ORP57" s="232"/>
      <c r="ORQ57" s="233"/>
      <c r="ORR57" s="233"/>
      <c r="ORS57" s="233"/>
      <c r="ORT57" s="233"/>
      <c r="ORU57" s="233"/>
      <c r="ORV57" s="233"/>
      <c r="ORW57" s="231"/>
      <c r="ORX57" s="231"/>
      <c r="ORY57" s="229"/>
      <c r="ORZ57" s="230"/>
      <c r="OSA57" s="231"/>
      <c r="OSB57" s="232"/>
      <c r="OSC57" s="233"/>
      <c r="OSD57" s="233"/>
      <c r="OSE57" s="233"/>
      <c r="OSF57" s="233"/>
      <c r="OSG57" s="233"/>
      <c r="OSH57" s="233"/>
      <c r="OSI57" s="231"/>
      <c r="OSJ57" s="231"/>
      <c r="OSK57" s="229"/>
      <c r="OSL57" s="230"/>
      <c r="OSM57" s="231"/>
      <c r="OSN57" s="232"/>
      <c r="OSO57" s="233"/>
      <c r="OSP57" s="233"/>
      <c r="OSQ57" s="233"/>
      <c r="OSR57" s="233"/>
      <c r="OSS57" s="233"/>
      <c r="OST57" s="233"/>
      <c r="OSU57" s="231"/>
      <c r="OSV57" s="231"/>
      <c r="OSW57" s="229"/>
      <c r="OSX57" s="230"/>
      <c r="OSY57" s="231"/>
      <c r="OSZ57" s="232"/>
      <c r="OTA57" s="233"/>
      <c r="OTB57" s="233"/>
      <c r="OTC57" s="233"/>
      <c r="OTD57" s="233"/>
      <c r="OTE57" s="233"/>
      <c r="OTF57" s="233"/>
      <c r="OTG57" s="231"/>
      <c r="OTH57" s="231"/>
      <c r="OTI57" s="229"/>
      <c r="OTJ57" s="230"/>
      <c r="OTK57" s="231"/>
      <c r="OTL57" s="232"/>
      <c r="OTM57" s="233"/>
      <c r="OTN57" s="233"/>
      <c r="OTO57" s="233"/>
      <c r="OTP57" s="233"/>
      <c r="OTQ57" s="233"/>
      <c r="OTR57" s="233"/>
      <c r="OTS57" s="231"/>
      <c r="OTT57" s="231"/>
      <c r="OTU57" s="229"/>
      <c r="OTV57" s="230"/>
      <c r="OTW57" s="231"/>
      <c r="OTX57" s="232"/>
      <c r="OTY57" s="233"/>
      <c r="OTZ57" s="233"/>
      <c r="OUA57" s="233"/>
      <c r="OUB57" s="233"/>
      <c r="OUC57" s="233"/>
      <c r="OUD57" s="233"/>
      <c r="OUE57" s="231"/>
      <c r="OUF57" s="231"/>
      <c r="OUG57" s="229"/>
      <c r="OUH57" s="230"/>
      <c r="OUI57" s="231"/>
      <c r="OUJ57" s="232"/>
      <c r="OUK57" s="233"/>
      <c r="OUL57" s="233"/>
      <c r="OUM57" s="233"/>
      <c r="OUN57" s="233"/>
      <c r="OUO57" s="233"/>
      <c r="OUP57" s="233"/>
      <c r="OUQ57" s="231"/>
      <c r="OUR57" s="231"/>
      <c r="OUS57" s="229"/>
      <c r="OUT57" s="230"/>
      <c r="OUU57" s="231"/>
      <c r="OUV57" s="232"/>
      <c r="OUW57" s="233"/>
      <c r="OUX57" s="233"/>
      <c r="OUY57" s="233"/>
      <c r="OUZ57" s="233"/>
      <c r="OVA57" s="233"/>
      <c r="OVB57" s="233"/>
      <c r="OVC57" s="231"/>
      <c r="OVD57" s="231"/>
      <c r="OVE57" s="229"/>
      <c r="OVF57" s="230"/>
      <c r="OVG57" s="231"/>
      <c r="OVH57" s="232"/>
      <c r="OVI57" s="233"/>
      <c r="OVJ57" s="233"/>
      <c r="OVK57" s="233"/>
      <c r="OVL57" s="233"/>
      <c r="OVM57" s="233"/>
      <c r="OVN57" s="233"/>
      <c r="OVO57" s="231"/>
      <c r="OVP57" s="231"/>
      <c r="OVQ57" s="229"/>
      <c r="OVR57" s="230"/>
      <c r="OVS57" s="231"/>
      <c r="OVT57" s="232"/>
      <c r="OVU57" s="233"/>
      <c r="OVV57" s="233"/>
      <c r="OVW57" s="233"/>
      <c r="OVX57" s="233"/>
      <c r="OVY57" s="233"/>
      <c r="OVZ57" s="233"/>
      <c r="OWA57" s="231"/>
      <c r="OWB57" s="231"/>
      <c r="OWC57" s="229"/>
      <c r="OWD57" s="230"/>
      <c r="OWE57" s="231"/>
      <c r="OWF57" s="232"/>
      <c r="OWG57" s="233"/>
      <c r="OWH57" s="233"/>
      <c r="OWI57" s="233"/>
      <c r="OWJ57" s="233"/>
      <c r="OWK57" s="233"/>
      <c r="OWL57" s="233"/>
      <c r="OWM57" s="231"/>
      <c r="OWN57" s="231"/>
      <c r="OWO57" s="229"/>
      <c r="OWP57" s="230"/>
      <c r="OWQ57" s="231"/>
      <c r="OWR57" s="232"/>
      <c r="OWS57" s="233"/>
      <c r="OWT57" s="233"/>
      <c r="OWU57" s="233"/>
      <c r="OWV57" s="233"/>
      <c r="OWW57" s="233"/>
      <c r="OWX57" s="233"/>
      <c r="OWY57" s="231"/>
      <c r="OWZ57" s="231"/>
      <c r="OXA57" s="229"/>
      <c r="OXB57" s="230"/>
      <c r="OXC57" s="231"/>
      <c r="OXD57" s="232"/>
      <c r="OXE57" s="233"/>
      <c r="OXF57" s="233"/>
      <c r="OXG57" s="233"/>
      <c r="OXH57" s="233"/>
      <c r="OXI57" s="233"/>
      <c r="OXJ57" s="233"/>
      <c r="OXK57" s="231"/>
      <c r="OXL57" s="231"/>
      <c r="OXM57" s="229"/>
      <c r="OXN57" s="230"/>
      <c r="OXO57" s="231"/>
      <c r="OXP57" s="232"/>
      <c r="OXQ57" s="233"/>
      <c r="OXR57" s="233"/>
      <c r="OXS57" s="233"/>
      <c r="OXT57" s="233"/>
      <c r="OXU57" s="233"/>
      <c r="OXV57" s="233"/>
      <c r="OXW57" s="231"/>
      <c r="OXX57" s="231"/>
      <c r="OXY57" s="229"/>
      <c r="OXZ57" s="230"/>
      <c r="OYA57" s="231"/>
      <c r="OYB57" s="232"/>
      <c r="OYC57" s="233"/>
      <c r="OYD57" s="233"/>
      <c r="OYE57" s="233"/>
      <c r="OYF57" s="233"/>
      <c r="OYG57" s="233"/>
      <c r="OYH57" s="233"/>
      <c r="OYI57" s="231"/>
      <c r="OYJ57" s="231"/>
      <c r="OYK57" s="229"/>
      <c r="OYL57" s="230"/>
      <c r="OYM57" s="231"/>
      <c r="OYN57" s="232"/>
      <c r="OYO57" s="233"/>
      <c r="OYP57" s="233"/>
      <c r="OYQ57" s="233"/>
      <c r="OYR57" s="233"/>
      <c r="OYS57" s="233"/>
      <c r="OYT57" s="233"/>
      <c r="OYU57" s="231"/>
      <c r="OYV57" s="231"/>
      <c r="OYW57" s="229"/>
      <c r="OYX57" s="230"/>
      <c r="OYY57" s="231"/>
      <c r="OYZ57" s="232"/>
      <c r="OZA57" s="233"/>
      <c r="OZB57" s="233"/>
      <c r="OZC57" s="233"/>
      <c r="OZD57" s="233"/>
      <c r="OZE57" s="233"/>
      <c r="OZF57" s="233"/>
      <c r="OZG57" s="231"/>
      <c r="OZH57" s="231"/>
      <c r="OZI57" s="229"/>
      <c r="OZJ57" s="230"/>
      <c r="OZK57" s="231"/>
      <c r="OZL57" s="232"/>
      <c r="OZM57" s="233"/>
      <c r="OZN57" s="233"/>
      <c r="OZO57" s="233"/>
      <c r="OZP57" s="233"/>
      <c r="OZQ57" s="233"/>
      <c r="OZR57" s="233"/>
      <c r="OZS57" s="231"/>
      <c r="OZT57" s="231"/>
      <c r="OZU57" s="229"/>
      <c r="OZV57" s="230"/>
      <c r="OZW57" s="231"/>
      <c r="OZX57" s="232"/>
      <c r="OZY57" s="233"/>
      <c r="OZZ57" s="233"/>
      <c r="PAA57" s="233"/>
      <c r="PAB57" s="233"/>
      <c r="PAC57" s="233"/>
      <c r="PAD57" s="233"/>
      <c r="PAE57" s="231"/>
      <c r="PAF57" s="231"/>
      <c r="PAG57" s="229"/>
      <c r="PAH57" s="230"/>
      <c r="PAI57" s="231"/>
      <c r="PAJ57" s="232"/>
      <c r="PAK57" s="233"/>
      <c r="PAL57" s="233"/>
      <c r="PAM57" s="233"/>
      <c r="PAN57" s="233"/>
      <c r="PAO57" s="233"/>
      <c r="PAP57" s="233"/>
      <c r="PAQ57" s="231"/>
      <c r="PAR57" s="231"/>
      <c r="PAS57" s="229"/>
      <c r="PAT57" s="230"/>
      <c r="PAU57" s="231"/>
      <c r="PAV57" s="232"/>
      <c r="PAW57" s="233"/>
      <c r="PAX57" s="233"/>
      <c r="PAY57" s="233"/>
      <c r="PAZ57" s="233"/>
      <c r="PBA57" s="233"/>
      <c r="PBB57" s="233"/>
      <c r="PBC57" s="231"/>
      <c r="PBD57" s="231"/>
      <c r="PBE57" s="229"/>
      <c r="PBF57" s="230"/>
      <c r="PBG57" s="231"/>
      <c r="PBH57" s="232"/>
      <c r="PBI57" s="233"/>
      <c r="PBJ57" s="233"/>
      <c r="PBK57" s="233"/>
      <c r="PBL57" s="233"/>
      <c r="PBM57" s="233"/>
      <c r="PBN57" s="233"/>
      <c r="PBO57" s="231"/>
      <c r="PBP57" s="231"/>
      <c r="PBQ57" s="229"/>
      <c r="PBR57" s="230"/>
      <c r="PBS57" s="231"/>
      <c r="PBT57" s="232"/>
      <c r="PBU57" s="233"/>
      <c r="PBV57" s="233"/>
      <c r="PBW57" s="233"/>
      <c r="PBX57" s="233"/>
      <c r="PBY57" s="233"/>
      <c r="PBZ57" s="233"/>
      <c r="PCA57" s="231"/>
      <c r="PCB57" s="231"/>
      <c r="PCC57" s="229"/>
      <c r="PCD57" s="230"/>
      <c r="PCE57" s="231"/>
      <c r="PCF57" s="232"/>
      <c r="PCG57" s="233"/>
      <c r="PCH57" s="233"/>
      <c r="PCI57" s="233"/>
      <c r="PCJ57" s="233"/>
      <c r="PCK57" s="233"/>
      <c r="PCL57" s="233"/>
      <c r="PCM57" s="231"/>
      <c r="PCN57" s="231"/>
      <c r="PCO57" s="229"/>
      <c r="PCP57" s="230"/>
      <c r="PCQ57" s="231"/>
      <c r="PCR57" s="232"/>
      <c r="PCS57" s="233"/>
      <c r="PCT57" s="233"/>
      <c r="PCU57" s="233"/>
      <c r="PCV57" s="233"/>
      <c r="PCW57" s="233"/>
      <c r="PCX57" s="233"/>
      <c r="PCY57" s="231"/>
      <c r="PCZ57" s="231"/>
      <c r="PDA57" s="229"/>
      <c r="PDB57" s="230"/>
      <c r="PDC57" s="231"/>
      <c r="PDD57" s="232"/>
      <c r="PDE57" s="233"/>
      <c r="PDF57" s="233"/>
      <c r="PDG57" s="233"/>
      <c r="PDH57" s="233"/>
      <c r="PDI57" s="233"/>
      <c r="PDJ57" s="233"/>
      <c r="PDK57" s="231"/>
      <c r="PDL57" s="231"/>
      <c r="PDM57" s="229"/>
      <c r="PDN57" s="230"/>
      <c r="PDO57" s="231"/>
      <c r="PDP57" s="232"/>
      <c r="PDQ57" s="233"/>
      <c r="PDR57" s="233"/>
      <c r="PDS57" s="233"/>
      <c r="PDT57" s="233"/>
      <c r="PDU57" s="233"/>
      <c r="PDV57" s="233"/>
      <c r="PDW57" s="231"/>
      <c r="PDX57" s="231"/>
      <c r="PDY57" s="229"/>
      <c r="PDZ57" s="230"/>
      <c r="PEA57" s="231"/>
      <c r="PEB57" s="232"/>
      <c r="PEC57" s="233"/>
      <c r="PED57" s="233"/>
      <c r="PEE57" s="233"/>
      <c r="PEF57" s="233"/>
      <c r="PEG57" s="233"/>
      <c r="PEH57" s="233"/>
      <c r="PEI57" s="231"/>
      <c r="PEJ57" s="231"/>
      <c r="PEK57" s="229"/>
      <c r="PEL57" s="230"/>
      <c r="PEM57" s="231"/>
      <c r="PEN57" s="232"/>
      <c r="PEO57" s="233"/>
      <c r="PEP57" s="233"/>
      <c r="PEQ57" s="233"/>
      <c r="PER57" s="233"/>
      <c r="PES57" s="233"/>
      <c r="PET57" s="233"/>
      <c r="PEU57" s="231"/>
      <c r="PEV57" s="231"/>
      <c r="PEW57" s="229"/>
      <c r="PEX57" s="230"/>
      <c r="PEY57" s="231"/>
      <c r="PEZ57" s="232"/>
      <c r="PFA57" s="233"/>
      <c r="PFB57" s="233"/>
      <c r="PFC57" s="233"/>
      <c r="PFD57" s="233"/>
      <c r="PFE57" s="233"/>
      <c r="PFF57" s="233"/>
      <c r="PFG57" s="231"/>
      <c r="PFH57" s="231"/>
      <c r="PFI57" s="229"/>
      <c r="PFJ57" s="230"/>
      <c r="PFK57" s="231"/>
      <c r="PFL57" s="232"/>
      <c r="PFM57" s="233"/>
      <c r="PFN57" s="233"/>
      <c r="PFO57" s="233"/>
      <c r="PFP57" s="233"/>
      <c r="PFQ57" s="233"/>
      <c r="PFR57" s="233"/>
      <c r="PFS57" s="231"/>
      <c r="PFT57" s="231"/>
      <c r="PFU57" s="229"/>
      <c r="PFV57" s="230"/>
      <c r="PFW57" s="231"/>
      <c r="PFX57" s="232"/>
      <c r="PFY57" s="233"/>
      <c r="PFZ57" s="233"/>
      <c r="PGA57" s="233"/>
      <c r="PGB57" s="233"/>
      <c r="PGC57" s="233"/>
      <c r="PGD57" s="233"/>
      <c r="PGE57" s="231"/>
      <c r="PGF57" s="231"/>
      <c r="PGG57" s="229"/>
      <c r="PGH57" s="230"/>
      <c r="PGI57" s="231"/>
      <c r="PGJ57" s="232"/>
      <c r="PGK57" s="233"/>
      <c r="PGL57" s="233"/>
      <c r="PGM57" s="233"/>
      <c r="PGN57" s="233"/>
      <c r="PGO57" s="233"/>
      <c r="PGP57" s="233"/>
      <c r="PGQ57" s="231"/>
      <c r="PGR57" s="231"/>
      <c r="PGS57" s="229"/>
      <c r="PGT57" s="230"/>
      <c r="PGU57" s="231"/>
      <c r="PGV57" s="232"/>
      <c r="PGW57" s="233"/>
      <c r="PGX57" s="233"/>
      <c r="PGY57" s="233"/>
      <c r="PGZ57" s="233"/>
      <c r="PHA57" s="233"/>
      <c r="PHB57" s="233"/>
      <c r="PHC57" s="231"/>
      <c r="PHD57" s="231"/>
      <c r="PHE57" s="229"/>
      <c r="PHF57" s="230"/>
      <c r="PHG57" s="231"/>
      <c r="PHH57" s="232"/>
      <c r="PHI57" s="233"/>
      <c r="PHJ57" s="233"/>
      <c r="PHK57" s="233"/>
      <c r="PHL57" s="233"/>
      <c r="PHM57" s="233"/>
      <c r="PHN57" s="233"/>
      <c r="PHO57" s="231"/>
      <c r="PHP57" s="231"/>
      <c r="PHQ57" s="229"/>
      <c r="PHR57" s="230"/>
      <c r="PHS57" s="231"/>
      <c r="PHT57" s="232"/>
      <c r="PHU57" s="233"/>
      <c r="PHV57" s="233"/>
      <c r="PHW57" s="233"/>
      <c r="PHX57" s="233"/>
      <c r="PHY57" s="233"/>
      <c r="PHZ57" s="233"/>
      <c r="PIA57" s="231"/>
      <c r="PIB57" s="231"/>
      <c r="PIC57" s="229"/>
      <c r="PID57" s="230"/>
      <c r="PIE57" s="231"/>
      <c r="PIF57" s="232"/>
      <c r="PIG57" s="233"/>
      <c r="PIH57" s="233"/>
      <c r="PII57" s="233"/>
      <c r="PIJ57" s="233"/>
      <c r="PIK57" s="233"/>
      <c r="PIL57" s="233"/>
      <c r="PIM57" s="231"/>
      <c r="PIN57" s="231"/>
      <c r="PIO57" s="229"/>
      <c r="PIP57" s="230"/>
      <c r="PIQ57" s="231"/>
      <c r="PIR57" s="232"/>
      <c r="PIS57" s="233"/>
      <c r="PIT57" s="233"/>
      <c r="PIU57" s="233"/>
      <c r="PIV57" s="233"/>
      <c r="PIW57" s="233"/>
      <c r="PIX57" s="233"/>
      <c r="PIY57" s="231"/>
      <c r="PIZ57" s="231"/>
      <c r="PJA57" s="229"/>
      <c r="PJB57" s="230"/>
      <c r="PJC57" s="231"/>
      <c r="PJD57" s="232"/>
      <c r="PJE57" s="233"/>
      <c r="PJF57" s="233"/>
      <c r="PJG57" s="233"/>
      <c r="PJH57" s="233"/>
      <c r="PJI57" s="233"/>
      <c r="PJJ57" s="233"/>
      <c r="PJK57" s="231"/>
      <c r="PJL57" s="231"/>
      <c r="PJM57" s="229"/>
      <c r="PJN57" s="230"/>
      <c r="PJO57" s="231"/>
      <c r="PJP57" s="232"/>
      <c r="PJQ57" s="233"/>
      <c r="PJR57" s="233"/>
      <c r="PJS57" s="233"/>
      <c r="PJT57" s="233"/>
      <c r="PJU57" s="233"/>
      <c r="PJV57" s="233"/>
      <c r="PJW57" s="231"/>
      <c r="PJX57" s="231"/>
      <c r="PJY57" s="229"/>
      <c r="PJZ57" s="230"/>
      <c r="PKA57" s="231"/>
      <c r="PKB57" s="232"/>
      <c r="PKC57" s="233"/>
      <c r="PKD57" s="233"/>
      <c r="PKE57" s="233"/>
      <c r="PKF57" s="233"/>
      <c r="PKG57" s="233"/>
      <c r="PKH57" s="233"/>
      <c r="PKI57" s="231"/>
      <c r="PKJ57" s="231"/>
      <c r="PKK57" s="229"/>
      <c r="PKL57" s="230"/>
      <c r="PKM57" s="231"/>
      <c r="PKN57" s="232"/>
      <c r="PKO57" s="233"/>
      <c r="PKP57" s="233"/>
      <c r="PKQ57" s="233"/>
      <c r="PKR57" s="233"/>
      <c r="PKS57" s="233"/>
      <c r="PKT57" s="233"/>
      <c r="PKU57" s="231"/>
      <c r="PKV57" s="231"/>
      <c r="PKW57" s="229"/>
      <c r="PKX57" s="230"/>
      <c r="PKY57" s="231"/>
      <c r="PKZ57" s="232"/>
      <c r="PLA57" s="233"/>
      <c r="PLB57" s="233"/>
      <c r="PLC57" s="233"/>
      <c r="PLD57" s="233"/>
      <c r="PLE57" s="233"/>
      <c r="PLF57" s="233"/>
      <c r="PLG57" s="231"/>
      <c r="PLH57" s="231"/>
      <c r="PLI57" s="229"/>
      <c r="PLJ57" s="230"/>
      <c r="PLK57" s="231"/>
      <c r="PLL57" s="232"/>
      <c r="PLM57" s="233"/>
      <c r="PLN57" s="233"/>
      <c r="PLO57" s="233"/>
      <c r="PLP57" s="233"/>
      <c r="PLQ57" s="233"/>
      <c r="PLR57" s="233"/>
      <c r="PLS57" s="231"/>
      <c r="PLT57" s="231"/>
      <c r="PLU57" s="229"/>
      <c r="PLV57" s="230"/>
      <c r="PLW57" s="231"/>
      <c r="PLX57" s="232"/>
      <c r="PLY57" s="233"/>
      <c r="PLZ57" s="233"/>
      <c r="PMA57" s="233"/>
      <c r="PMB57" s="233"/>
      <c r="PMC57" s="233"/>
      <c r="PMD57" s="233"/>
      <c r="PME57" s="231"/>
      <c r="PMF57" s="231"/>
      <c r="PMG57" s="229"/>
      <c r="PMH57" s="230"/>
      <c r="PMI57" s="231"/>
      <c r="PMJ57" s="232"/>
      <c r="PMK57" s="233"/>
      <c r="PML57" s="233"/>
      <c r="PMM57" s="233"/>
      <c r="PMN57" s="233"/>
      <c r="PMO57" s="233"/>
      <c r="PMP57" s="233"/>
      <c r="PMQ57" s="231"/>
      <c r="PMR57" s="231"/>
      <c r="PMS57" s="229"/>
      <c r="PMT57" s="230"/>
      <c r="PMU57" s="231"/>
      <c r="PMV57" s="232"/>
      <c r="PMW57" s="233"/>
      <c r="PMX57" s="233"/>
      <c r="PMY57" s="233"/>
      <c r="PMZ57" s="233"/>
      <c r="PNA57" s="233"/>
      <c r="PNB57" s="233"/>
      <c r="PNC57" s="231"/>
      <c r="PND57" s="231"/>
      <c r="PNE57" s="229"/>
      <c r="PNF57" s="230"/>
      <c r="PNG57" s="231"/>
      <c r="PNH57" s="232"/>
      <c r="PNI57" s="233"/>
      <c r="PNJ57" s="233"/>
      <c r="PNK57" s="233"/>
      <c r="PNL57" s="233"/>
      <c r="PNM57" s="233"/>
      <c r="PNN57" s="233"/>
      <c r="PNO57" s="231"/>
      <c r="PNP57" s="231"/>
      <c r="PNQ57" s="229"/>
      <c r="PNR57" s="230"/>
      <c r="PNS57" s="231"/>
      <c r="PNT57" s="232"/>
      <c r="PNU57" s="233"/>
      <c r="PNV57" s="233"/>
      <c r="PNW57" s="233"/>
      <c r="PNX57" s="233"/>
      <c r="PNY57" s="233"/>
      <c r="PNZ57" s="233"/>
      <c r="POA57" s="231"/>
      <c r="POB57" s="231"/>
      <c r="POC57" s="229"/>
      <c r="POD57" s="230"/>
      <c r="POE57" s="231"/>
      <c r="POF57" s="232"/>
      <c r="POG57" s="233"/>
      <c r="POH57" s="233"/>
      <c r="POI57" s="233"/>
      <c r="POJ57" s="233"/>
      <c r="POK57" s="233"/>
      <c r="POL57" s="233"/>
      <c r="POM57" s="231"/>
      <c r="PON57" s="231"/>
      <c r="POO57" s="229"/>
      <c r="POP57" s="230"/>
      <c r="POQ57" s="231"/>
      <c r="POR57" s="232"/>
      <c r="POS57" s="233"/>
      <c r="POT57" s="233"/>
      <c r="POU57" s="233"/>
      <c r="POV57" s="233"/>
      <c r="POW57" s="233"/>
      <c r="POX57" s="233"/>
      <c r="POY57" s="231"/>
      <c r="POZ57" s="231"/>
      <c r="PPA57" s="229"/>
      <c r="PPB57" s="230"/>
      <c r="PPC57" s="231"/>
      <c r="PPD57" s="232"/>
      <c r="PPE57" s="233"/>
      <c r="PPF57" s="233"/>
      <c r="PPG57" s="233"/>
      <c r="PPH57" s="233"/>
      <c r="PPI57" s="233"/>
      <c r="PPJ57" s="233"/>
      <c r="PPK57" s="231"/>
      <c r="PPL57" s="231"/>
      <c r="PPM57" s="229"/>
      <c r="PPN57" s="230"/>
      <c r="PPO57" s="231"/>
      <c r="PPP57" s="232"/>
      <c r="PPQ57" s="233"/>
      <c r="PPR57" s="233"/>
      <c r="PPS57" s="233"/>
      <c r="PPT57" s="233"/>
      <c r="PPU57" s="233"/>
      <c r="PPV57" s="233"/>
      <c r="PPW57" s="231"/>
      <c r="PPX57" s="231"/>
      <c r="PPY57" s="229"/>
      <c r="PPZ57" s="230"/>
      <c r="PQA57" s="231"/>
      <c r="PQB57" s="232"/>
      <c r="PQC57" s="233"/>
      <c r="PQD57" s="233"/>
      <c r="PQE57" s="233"/>
      <c r="PQF57" s="233"/>
      <c r="PQG57" s="233"/>
      <c r="PQH57" s="233"/>
      <c r="PQI57" s="231"/>
      <c r="PQJ57" s="231"/>
      <c r="PQK57" s="229"/>
      <c r="PQL57" s="230"/>
      <c r="PQM57" s="231"/>
      <c r="PQN57" s="232"/>
      <c r="PQO57" s="233"/>
      <c r="PQP57" s="233"/>
      <c r="PQQ57" s="233"/>
      <c r="PQR57" s="233"/>
      <c r="PQS57" s="233"/>
      <c r="PQT57" s="233"/>
      <c r="PQU57" s="231"/>
      <c r="PQV57" s="231"/>
      <c r="PQW57" s="229"/>
      <c r="PQX57" s="230"/>
      <c r="PQY57" s="231"/>
      <c r="PQZ57" s="232"/>
      <c r="PRA57" s="233"/>
      <c r="PRB57" s="233"/>
      <c r="PRC57" s="233"/>
      <c r="PRD57" s="233"/>
      <c r="PRE57" s="233"/>
      <c r="PRF57" s="233"/>
      <c r="PRG57" s="231"/>
      <c r="PRH57" s="231"/>
      <c r="PRI57" s="229"/>
      <c r="PRJ57" s="230"/>
      <c r="PRK57" s="231"/>
      <c r="PRL57" s="232"/>
      <c r="PRM57" s="233"/>
      <c r="PRN57" s="233"/>
      <c r="PRO57" s="233"/>
      <c r="PRP57" s="233"/>
      <c r="PRQ57" s="233"/>
      <c r="PRR57" s="233"/>
      <c r="PRS57" s="231"/>
      <c r="PRT57" s="231"/>
      <c r="PRU57" s="229"/>
      <c r="PRV57" s="230"/>
      <c r="PRW57" s="231"/>
      <c r="PRX57" s="232"/>
      <c r="PRY57" s="233"/>
      <c r="PRZ57" s="233"/>
      <c r="PSA57" s="233"/>
      <c r="PSB57" s="233"/>
      <c r="PSC57" s="233"/>
      <c r="PSD57" s="233"/>
      <c r="PSE57" s="231"/>
      <c r="PSF57" s="231"/>
      <c r="PSG57" s="229"/>
      <c r="PSH57" s="230"/>
      <c r="PSI57" s="231"/>
      <c r="PSJ57" s="232"/>
      <c r="PSK57" s="233"/>
      <c r="PSL57" s="233"/>
      <c r="PSM57" s="233"/>
      <c r="PSN57" s="233"/>
      <c r="PSO57" s="233"/>
      <c r="PSP57" s="233"/>
      <c r="PSQ57" s="231"/>
      <c r="PSR57" s="231"/>
      <c r="PSS57" s="229"/>
      <c r="PST57" s="230"/>
      <c r="PSU57" s="231"/>
      <c r="PSV57" s="232"/>
      <c r="PSW57" s="233"/>
      <c r="PSX57" s="233"/>
      <c r="PSY57" s="233"/>
      <c r="PSZ57" s="233"/>
      <c r="PTA57" s="233"/>
      <c r="PTB57" s="233"/>
      <c r="PTC57" s="231"/>
      <c r="PTD57" s="231"/>
      <c r="PTE57" s="229"/>
      <c r="PTF57" s="230"/>
      <c r="PTG57" s="231"/>
      <c r="PTH57" s="232"/>
      <c r="PTI57" s="233"/>
      <c r="PTJ57" s="233"/>
      <c r="PTK57" s="233"/>
      <c r="PTL57" s="233"/>
      <c r="PTM57" s="233"/>
      <c r="PTN57" s="233"/>
      <c r="PTO57" s="231"/>
      <c r="PTP57" s="231"/>
      <c r="PTQ57" s="229"/>
      <c r="PTR57" s="230"/>
      <c r="PTS57" s="231"/>
      <c r="PTT57" s="232"/>
      <c r="PTU57" s="233"/>
      <c r="PTV57" s="233"/>
      <c r="PTW57" s="233"/>
      <c r="PTX57" s="233"/>
      <c r="PTY57" s="233"/>
      <c r="PTZ57" s="233"/>
      <c r="PUA57" s="231"/>
      <c r="PUB57" s="231"/>
      <c r="PUC57" s="229"/>
      <c r="PUD57" s="230"/>
      <c r="PUE57" s="231"/>
      <c r="PUF57" s="232"/>
      <c r="PUG57" s="233"/>
      <c r="PUH57" s="233"/>
      <c r="PUI57" s="233"/>
      <c r="PUJ57" s="233"/>
      <c r="PUK57" s="233"/>
      <c r="PUL57" s="233"/>
      <c r="PUM57" s="231"/>
      <c r="PUN57" s="231"/>
      <c r="PUO57" s="229"/>
      <c r="PUP57" s="230"/>
      <c r="PUQ57" s="231"/>
      <c r="PUR57" s="232"/>
      <c r="PUS57" s="233"/>
      <c r="PUT57" s="233"/>
      <c r="PUU57" s="233"/>
      <c r="PUV57" s="233"/>
      <c r="PUW57" s="233"/>
      <c r="PUX57" s="233"/>
      <c r="PUY57" s="231"/>
      <c r="PUZ57" s="231"/>
      <c r="PVA57" s="229"/>
      <c r="PVB57" s="230"/>
      <c r="PVC57" s="231"/>
      <c r="PVD57" s="232"/>
      <c r="PVE57" s="233"/>
      <c r="PVF57" s="233"/>
      <c r="PVG57" s="233"/>
      <c r="PVH57" s="233"/>
      <c r="PVI57" s="233"/>
      <c r="PVJ57" s="233"/>
      <c r="PVK57" s="231"/>
      <c r="PVL57" s="231"/>
      <c r="PVM57" s="229"/>
      <c r="PVN57" s="230"/>
      <c r="PVO57" s="231"/>
      <c r="PVP57" s="232"/>
      <c r="PVQ57" s="233"/>
      <c r="PVR57" s="233"/>
      <c r="PVS57" s="233"/>
      <c r="PVT57" s="233"/>
      <c r="PVU57" s="233"/>
      <c r="PVV57" s="233"/>
      <c r="PVW57" s="231"/>
      <c r="PVX57" s="231"/>
      <c r="PVY57" s="229"/>
      <c r="PVZ57" s="230"/>
      <c r="PWA57" s="231"/>
      <c r="PWB57" s="232"/>
      <c r="PWC57" s="233"/>
      <c r="PWD57" s="233"/>
      <c r="PWE57" s="233"/>
      <c r="PWF57" s="233"/>
      <c r="PWG57" s="233"/>
      <c r="PWH57" s="233"/>
      <c r="PWI57" s="231"/>
      <c r="PWJ57" s="231"/>
      <c r="PWK57" s="229"/>
      <c r="PWL57" s="230"/>
      <c r="PWM57" s="231"/>
      <c r="PWN57" s="232"/>
      <c r="PWO57" s="233"/>
      <c r="PWP57" s="233"/>
      <c r="PWQ57" s="233"/>
      <c r="PWR57" s="233"/>
      <c r="PWS57" s="233"/>
      <c r="PWT57" s="233"/>
      <c r="PWU57" s="231"/>
      <c r="PWV57" s="231"/>
      <c r="PWW57" s="229"/>
      <c r="PWX57" s="230"/>
      <c r="PWY57" s="231"/>
      <c r="PWZ57" s="232"/>
      <c r="PXA57" s="233"/>
      <c r="PXB57" s="233"/>
      <c r="PXC57" s="233"/>
      <c r="PXD57" s="233"/>
      <c r="PXE57" s="233"/>
      <c r="PXF57" s="233"/>
      <c r="PXG57" s="231"/>
      <c r="PXH57" s="231"/>
      <c r="PXI57" s="229"/>
      <c r="PXJ57" s="230"/>
      <c r="PXK57" s="231"/>
      <c r="PXL57" s="232"/>
      <c r="PXM57" s="233"/>
      <c r="PXN57" s="233"/>
      <c r="PXO57" s="233"/>
      <c r="PXP57" s="233"/>
      <c r="PXQ57" s="233"/>
      <c r="PXR57" s="233"/>
      <c r="PXS57" s="231"/>
      <c r="PXT57" s="231"/>
      <c r="PXU57" s="229"/>
      <c r="PXV57" s="230"/>
      <c r="PXW57" s="231"/>
      <c r="PXX57" s="232"/>
      <c r="PXY57" s="233"/>
      <c r="PXZ57" s="233"/>
      <c r="PYA57" s="233"/>
      <c r="PYB57" s="233"/>
      <c r="PYC57" s="233"/>
      <c r="PYD57" s="233"/>
      <c r="PYE57" s="231"/>
      <c r="PYF57" s="231"/>
      <c r="PYG57" s="229"/>
      <c r="PYH57" s="230"/>
      <c r="PYI57" s="231"/>
      <c r="PYJ57" s="232"/>
      <c r="PYK57" s="233"/>
      <c r="PYL57" s="233"/>
      <c r="PYM57" s="233"/>
      <c r="PYN57" s="233"/>
      <c r="PYO57" s="233"/>
      <c r="PYP57" s="233"/>
      <c r="PYQ57" s="231"/>
      <c r="PYR57" s="231"/>
      <c r="PYS57" s="229"/>
      <c r="PYT57" s="230"/>
      <c r="PYU57" s="231"/>
      <c r="PYV57" s="232"/>
      <c r="PYW57" s="233"/>
      <c r="PYX57" s="233"/>
      <c r="PYY57" s="233"/>
      <c r="PYZ57" s="233"/>
      <c r="PZA57" s="233"/>
      <c r="PZB57" s="233"/>
      <c r="PZC57" s="231"/>
      <c r="PZD57" s="231"/>
      <c r="PZE57" s="229"/>
      <c r="PZF57" s="230"/>
      <c r="PZG57" s="231"/>
      <c r="PZH57" s="232"/>
      <c r="PZI57" s="233"/>
      <c r="PZJ57" s="233"/>
      <c r="PZK57" s="233"/>
      <c r="PZL57" s="233"/>
      <c r="PZM57" s="233"/>
      <c r="PZN57" s="233"/>
      <c r="PZO57" s="231"/>
      <c r="PZP57" s="231"/>
      <c r="PZQ57" s="229"/>
      <c r="PZR57" s="230"/>
      <c r="PZS57" s="231"/>
      <c r="PZT57" s="232"/>
      <c r="PZU57" s="233"/>
      <c r="PZV57" s="233"/>
      <c r="PZW57" s="233"/>
      <c r="PZX57" s="233"/>
      <c r="PZY57" s="233"/>
      <c r="PZZ57" s="233"/>
      <c r="QAA57" s="231"/>
      <c r="QAB57" s="231"/>
      <c r="QAC57" s="229"/>
      <c r="QAD57" s="230"/>
      <c r="QAE57" s="231"/>
      <c r="QAF57" s="232"/>
      <c r="QAG57" s="233"/>
      <c r="QAH57" s="233"/>
      <c r="QAI57" s="233"/>
      <c r="QAJ57" s="233"/>
      <c r="QAK57" s="233"/>
      <c r="QAL57" s="233"/>
      <c r="QAM57" s="231"/>
      <c r="QAN57" s="231"/>
      <c r="QAO57" s="229"/>
      <c r="QAP57" s="230"/>
      <c r="QAQ57" s="231"/>
      <c r="QAR57" s="232"/>
      <c r="QAS57" s="233"/>
      <c r="QAT57" s="233"/>
      <c r="QAU57" s="233"/>
      <c r="QAV57" s="233"/>
      <c r="QAW57" s="233"/>
      <c r="QAX57" s="233"/>
      <c r="QAY57" s="231"/>
      <c r="QAZ57" s="231"/>
      <c r="QBA57" s="229"/>
      <c r="QBB57" s="230"/>
      <c r="QBC57" s="231"/>
      <c r="QBD57" s="232"/>
      <c r="QBE57" s="233"/>
      <c r="QBF57" s="233"/>
      <c r="QBG57" s="233"/>
      <c r="QBH57" s="233"/>
      <c r="QBI57" s="233"/>
      <c r="QBJ57" s="233"/>
      <c r="QBK57" s="231"/>
      <c r="QBL57" s="231"/>
      <c r="QBM57" s="229"/>
      <c r="QBN57" s="230"/>
      <c r="QBO57" s="231"/>
      <c r="QBP57" s="232"/>
      <c r="QBQ57" s="233"/>
      <c r="QBR57" s="233"/>
      <c r="QBS57" s="233"/>
      <c r="QBT57" s="233"/>
      <c r="QBU57" s="233"/>
      <c r="QBV57" s="233"/>
      <c r="QBW57" s="231"/>
      <c r="QBX57" s="231"/>
      <c r="QBY57" s="229"/>
      <c r="QBZ57" s="230"/>
      <c r="QCA57" s="231"/>
      <c r="QCB57" s="232"/>
      <c r="QCC57" s="233"/>
      <c r="QCD57" s="233"/>
      <c r="QCE57" s="233"/>
      <c r="QCF57" s="233"/>
      <c r="QCG57" s="233"/>
      <c r="QCH57" s="233"/>
      <c r="QCI57" s="231"/>
      <c r="QCJ57" s="231"/>
      <c r="QCK57" s="229"/>
      <c r="QCL57" s="230"/>
      <c r="QCM57" s="231"/>
      <c r="QCN57" s="232"/>
      <c r="QCO57" s="233"/>
      <c r="QCP57" s="233"/>
      <c r="QCQ57" s="233"/>
      <c r="QCR57" s="233"/>
      <c r="QCS57" s="233"/>
      <c r="QCT57" s="233"/>
      <c r="QCU57" s="231"/>
      <c r="QCV57" s="231"/>
      <c r="QCW57" s="229"/>
      <c r="QCX57" s="230"/>
      <c r="QCY57" s="231"/>
      <c r="QCZ57" s="232"/>
      <c r="QDA57" s="233"/>
      <c r="QDB57" s="233"/>
      <c r="QDC57" s="233"/>
      <c r="QDD57" s="233"/>
      <c r="QDE57" s="233"/>
      <c r="QDF57" s="233"/>
      <c r="QDG57" s="231"/>
      <c r="QDH57" s="231"/>
      <c r="QDI57" s="229"/>
      <c r="QDJ57" s="230"/>
      <c r="QDK57" s="231"/>
      <c r="QDL57" s="232"/>
      <c r="QDM57" s="233"/>
      <c r="QDN57" s="233"/>
      <c r="QDO57" s="233"/>
      <c r="QDP57" s="233"/>
      <c r="QDQ57" s="233"/>
      <c r="QDR57" s="233"/>
      <c r="QDS57" s="231"/>
      <c r="QDT57" s="231"/>
      <c r="QDU57" s="229"/>
      <c r="QDV57" s="230"/>
      <c r="QDW57" s="231"/>
      <c r="QDX57" s="232"/>
      <c r="QDY57" s="233"/>
      <c r="QDZ57" s="233"/>
      <c r="QEA57" s="233"/>
      <c r="QEB57" s="233"/>
      <c r="QEC57" s="233"/>
      <c r="QED57" s="233"/>
      <c r="QEE57" s="231"/>
      <c r="QEF57" s="231"/>
      <c r="QEG57" s="229"/>
      <c r="QEH57" s="230"/>
      <c r="QEI57" s="231"/>
      <c r="QEJ57" s="232"/>
      <c r="QEK57" s="233"/>
      <c r="QEL57" s="233"/>
      <c r="QEM57" s="233"/>
      <c r="QEN57" s="233"/>
      <c r="QEO57" s="233"/>
      <c r="QEP57" s="233"/>
      <c r="QEQ57" s="231"/>
      <c r="QER57" s="231"/>
      <c r="QES57" s="229"/>
      <c r="QET57" s="230"/>
      <c r="QEU57" s="231"/>
      <c r="QEV57" s="232"/>
      <c r="QEW57" s="233"/>
      <c r="QEX57" s="233"/>
      <c r="QEY57" s="233"/>
      <c r="QEZ57" s="233"/>
      <c r="QFA57" s="233"/>
      <c r="QFB57" s="233"/>
      <c r="QFC57" s="231"/>
      <c r="QFD57" s="231"/>
      <c r="QFE57" s="229"/>
      <c r="QFF57" s="230"/>
      <c r="QFG57" s="231"/>
      <c r="QFH57" s="232"/>
      <c r="QFI57" s="233"/>
      <c r="QFJ57" s="233"/>
      <c r="QFK57" s="233"/>
      <c r="QFL57" s="233"/>
      <c r="QFM57" s="233"/>
      <c r="QFN57" s="233"/>
      <c r="QFO57" s="231"/>
      <c r="QFP57" s="231"/>
      <c r="QFQ57" s="229"/>
      <c r="QFR57" s="230"/>
      <c r="QFS57" s="231"/>
      <c r="QFT57" s="232"/>
      <c r="QFU57" s="233"/>
      <c r="QFV57" s="233"/>
      <c r="QFW57" s="233"/>
      <c r="QFX57" s="233"/>
      <c r="QFY57" s="233"/>
      <c r="QFZ57" s="233"/>
      <c r="QGA57" s="231"/>
      <c r="QGB57" s="231"/>
      <c r="QGC57" s="229"/>
      <c r="QGD57" s="230"/>
      <c r="QGE57" s="231"/>
      <c r="QGF57" s="232"/>
      <c r="QGG57" s="233"/>
      <c r="QGH57" s="233"/>
      <c r="QGI57" s="233"/>
      <c r="QGJ57" s="233"/>
      <c r="QGK57" s="233"/>
      <c r="QGL57" s="233"/>
      <c r="QGM57" s="231"/>
      <c r="QGN57" s="231"/>
      <c r="QGO57" s="229"/>
      <c r="QGP57" s="230"/>
      <c r="QGQ57" s="231"/>
      <c r="QGR57" s="232"/>
      <c r="QGS57" s="233"/>
      <c r="QGT57" s="233"/>
      <c r="QGU57" s="233"/>
      <c r="QGV57" s="233"/>
      <c r="QGW57" s="233"/>
      <c r="QGX57" s="233"/>
      <c r="QGY57" s="231"/>
      <c r="QGZ57" s="231"/>
      <c r="QHA57" s="229"/>
      <c r="QHB57" s="230"/>
      <c r="QHC57" s="231"/>
      <c r="QHD57" s="232"/>
      <c r="QHE57" s="233"/>
      <c r="QHF57" s="233"/>
      <c r="QHG57" s="233"/>
      <c r="QHH57" s="233"/>
      <c r="QHI57" s="233"/>
      <c r="QHJ57" s="233"/>
      <c r="QHK57" s="231"/>
      <c r="QHL57" s="231"/>
      <c r="QHM57" s="229"/>
      <c r="QHN57" s="230"/>
      <c r="QHO57" s="231"/>
      <c r="QHP57" s="232"/>
      <c r="QHQ57" s="233"/>
      <c r="QHR57" s="233"/>
      <c r="QHS57" s="233"/>
      <c r="QHT57" s="233"/>
      <c r="QHU57" s="233"/>
      <c r="QHV57" s="233"/>
      <c r="QHW57" s="231"/>
      <c r="QHX57" s="231"/>
      <c r="QHY57" s="229"/>
      <c r="QHZ57" s="230"/>
      <c r="QIA57" s="231"/>
      <c r="QIB57" s="232"/>
      <c r="QIC57" s="233"/>
      <c r="QID57" s="233"/>
      <c r="QIE57" s="233"/>
      <c r="QIF57" s="233"/>
      <c r="QIG57" s="233"/>
      <c r="QIH57" s="233"/>
      <c r="QII57" s="231"/>
      <c r="QIJ57" s="231"/>
      <c r="QIK57" s="229"/>
      <c r="QIL57" s="230"/>
      <c r="QIM57" s="231"/>
      <c r="QIN57" s="232"/>
      <c r="QIO57" s="233"/>
      <c r="QIP57" s="233"/>
      <c r="QIQ57" s="233"/>
      <c r="QIR57" s="233"/>
      <c r="QIS57" s="233"/>
      <c r="QIT57" s="233"/>
      <c r="QIU57" s="231"/>
      <c r="QIV57" s="231"/>
      <c r="QIW57" s="229"/>
      <c r="QIX57" s="230"/>
      <c r="QIY57" s="231"/>
      <c r="QIZ57" s="232"/>
      <c r="QJA57" s="233"/>
      <c r="QJB57" s="233"/>
      <c r="QJC57" s="233"/>
      <c r="QJD57" s="233"/>
      <c r="QJE57" s="233"/>
      <c r="QJF57" s="233"/>
      <c r="QJG57" s="231"/>
      <c r="QJH57" s="231"/>
      <c r="QJI57" s="229"/>
      <c r="QJJ57" s="230"/>
      <c r="QJK57" s="231"/>
      <c r="QJL57" s="232"/>
      <c r="QJM57" s="233"/>
      <c r="QJN57" s="233"/>
      <c r="QJO57" s="233"/>
      <c r="QJP57" s="233"/>
      <c r="QJQ57" s="233"/>
      <c r="QJR57" s="233"/>
      <c r="QJS57" s="231"/>
      <c r="QJT57" s="231"/>
      <c r="QJU57" s="229"/>
      <c r="QJV57" s="230"/>
      <c r="QJW57" s="231"/>
      <c r="QJX57" s="232"/>
      <c r="QJY57" s="233"/>
      <c r="QJZ57" s="233"/>
      <c r="QKA57" s="233"/>
      <c r="QKB57" s="233"/>
      <c r="QKC57" s="233"/>
      <c r="QKD57" s="233"/>
      <c r="QKE57" s="231"/>
      <c r="QKF57" s="231"/>
      <c r="QKG57" s="229"/>
      <c r="QKH57" s="230"/>
      <c r="QKI57" s="231"/>
      <c r="QKJ57" s="232"/>
      <c r="QKK57" s="233"/>
      <c r="QKL57" s="233"/>
      <c r="QKM57" s="233"/>
      <c r="QKN57" s="233"/>
      <c r="QKO57" s="233"/>
      <c r="QKP57" s="233"/>
      <c r="QKQ57" s="231"/>
      <c r="QKR57" s="231"/>
      <c r="QKS57" s="229"/>
      <c r="QKT57" s="230"/>
      <c r="QKU57" s="231"/>
      <c r="QKV57" s="232"/>
      <c r="QKW57" s="233"/>
      <c r="QKX57" s="233"/>
      <c r="QKY57" s="233"/>
      <c r="QKZ57" s="233"/>
      <c r="QLA57" s="233"/>
      <c r="QLB57" s="233"/>
      <c r="QLC57" s="231"/>
      <c r="QLD57" s="231"/>
      <c r="QLE57" s="229"/>
      <c r="QLF57" s="230"/>
      <c r="QLG57" s="231"/>
      <c r="QLH57" s="232"/>
      <c r="QLI57" s="233"/>
      <c r="QLJ57" s="233"/>
      <c r="QLK57" s="233"/>
      <c r="QLL57" s="233"/>
      <c r="QLM57" s="233"/>
      <c r="QLN57" s="233"/>
      <c r="QLO57" s="231"/>
      <c r="QLP57" s="231"/>
      <c r="QLQ57" s="229"/>
      <c r="QLR57" s="230"/>
      <c r="QLS57" s="231"/>
      <c r="QLT57" s="232"/>
      <c r="QLU57" s="233"/>
      <c r="QLV57" s="233"/>
      <c r="QLW57" s="233"/>
      <c r="QLX57" s="233"/>
      <c r="QLY57" s="233"/>
      <c r="QLZ57" s="233"/>
      <c r="QMA57" s="231"/>
      <c r="QMB57" s="231"/>
      <c r="QMC57" s="229"/>
      <c r="QMD57" s="230"/>
      <c r="QME57" s="231"/>
      <c r="QMF57" s="232"/>
      <c r="QMG57" s="233"/>
      <c r="QMH57" s="233"/>
      <c r="QMI57" s="233"/>
      <c r="QMJ57" s="233"/>
      <c r="QMK57" s="233"/>
      <c r="QML57" s="233"/>
      <c r="QMM57" s="231"/>
      <c r="QMN57" s="231"/>
      <c r="QMO57" s="229"/>
      <c r="QMP57" s="230"/>
      <c r="QMQ57" s="231"/>
      <c r="QMR57" s="232"/>
      <c r="QMS57" s="233"/>
      <c r="QMT57" s="233"/>
      <c r="QMU57" s="233"/>
      <c r="QMV57" s="233"/>
      <c r="QMW57" s="233"/>
      <c r="QMX57" s="233"/>
      <c r="QMY57" s="231"/>
      <c r="QMZ57" s="231"/>
      <c r="QNA57" s="229"/>
      <c r="QNB57" s="230"/>
      <c r="QNC57" s="231"/>
      <c r="QND57" s="232"/>
      <c r="QNE57" s="233"/>
      <c r="QNF57" s="233"/>
      <c r="QNG57" s="233"/>
      <c r="QNH57" s="233"/>
      <c r="QNI57" s="233"/>
      <c r="QNJ57" s="233"/>
      <c r="QNK57" s="231"/>
      <c r="QNL57" s="231"/>
      <c r="QNM57" s="229"/>
      <c r="QNN57" s="230"/>
      <c r="QNO57" s="231"/>
      <c r="QNP57" s="232"/>
      <c r="QNQ57" s="233"/>
      <c r="QNR57" s="233"/>
      <c r="QNS57" s="233"/>
      <c r="QNT57" s="233"/>
      <c r="QNU57" s="233"/>
      <c r="QNV57" s="233"/>
      <c r="QNW57" s="231"/>
      <c r="QNX57" s="231"/>
      <c r="QNY57" s="229"/>
      <c r="QNZ57" s="230"/>
      <c r="QOA57" s="231"/>
      <c r="QOB57" s="232"/>
      <c r="QOC57" s="233"/>
      <c r="QOD57" s="233"/>
      <c r="QOE57" s="233"/>
      <c r="QOF57" s="233"/>
      <c r="QOG57" s="233"/>
      <c r="QOH57" s="233"/>
      <c r="QOI57" s="231"/>
      <c r="QOJ57" s="231"/>
      <c r="QOK57" s="229"/>
      <c r="QOL57" s="230"/>
      <c r="QOM57" s="231"/>
      <c r="QON57" s="232"/>
      <c r="QOO57" s="233"/>
      <c r="QOP57" s="233"/>
      <c r="QOQ57" s="233"/>
      <c r="QOR57" s="233"/>
      <c r="QOS57" s="233"/>
      <c r="QOT57" s="233"/>
      <c r="QOU57" s="231"/>
      <c r="QOV57" s="231"/>
      <c r="QOW57" s="229"/>
      <c r="QOX57" s="230"/>
      <c r="QOY57" s="231"/>
      <c r="QOZ57" s="232"/>
      <c r="QPA57" s="233"/>
      <c r="QPB57" s="233"/>
      <c r="QPC57" s="233"/>
      <c r="QPD57" s="233"/>
      <c r="QPE57" s="233"/>
      <c r="QPF57" s="233"/>
      <c r="QPG57" s="231"/>
      <c r="QPH57" s="231"/>
      <c r="QPI57" s="229"/>
      <c r="QPJ57" s="230"/>
      <c r="QPK57" s="231"/>
      <c r="QPL57" s="232"/>
      <c r="QPM57" s="233"/>
      <c r="QPN57" s="233"/>
      <c r="QPO57" s="233"/>
      <c r="QPP57" s="233"/>
      <c r="QPQ57" s="233"/>
      <c r="QPR57" s="233"/>
      <c r="QPS57" s="231"/>
      <c r="QPT57" s="231"/>
      <c r="QPU57" s="229"/>
      <c r="QPV57" s="230"/>
      <c r="QPW57" s="231"/>
      <c r="QPX57" s="232"/>
      <c r="QPY57" s="233"/>
      <c r="QPZ57" s="233"/>
      <c r="QQA57" s="233"/>
      <c r="QQB57" s="233"/>
      <c r="QQC57" s="233"/>
      <c r="QQD57" s="233"/>
      <c r="QQE57" s="231"/>
      <c r="QQF57" s="231"/>
      <c r="QQG57" s="229"/>
      <c r="QQH57" s="230"/>
      <c r="QQI57" s="231"/>
      <c r="QQJ57" s="232"/>
      <c r="QQK57" s="233"/>
      <c r="QQL57" s="233"/>
      <c r="QQM57" s="233"/>
      <c r="QQN57" s="233"/>
      <c r="QQO57" s="233"/>
      <c r="QQP57" s="233"/>
      <c r="QQQ57" s="231"/>
      <c r="QQR57" s="231"/>
      <c r="QQS57" s="229"/>
      <c r="QQT57" s="230"/>
      <c r="QQU57" s="231"/>
      <c r="QQV57" s="232"/>
      <c r="QQW57" s="233"/>
      <c r="QQX57" s="233"/>
      <c r="QQY57" s="233"/>
      <c r="QQZ57" s="233"/>
      <c r="QRA57" s="233"/>
      <c r="QRB57" s="233"/>
      <c r="QRC57" s="231"/>
      <c r="QRD57" s="231"/>
      <c r="QRE57" s="229"/>
      <c r="QRF57" s="230"/>
      <c r="QRG57" s="231"/>
      <c r="QRH57" s="232"/>
      <c r="QRI57" s="233"/>
      <c r="QRJ57" s="233"/>
      <c r="QRK57" s="233"/>
      <c r="QRL57" s="233"/>
      <c r="QRM57" s="233"/>
      <c r="QRN57" s="233"/>
      <c r="QRO57" s="231"/>
      <c r="QRP57" s="231"/>
      <c r="QRQ57" s="229"/>
      <c r="QRR57" s="230"/>
      <c r="QRS57" s="231"/>
      <c r="QRT57" s="232"/>
      <c r="QRU57" s="233"/>
      <c r="QRV57" s="233"/>
      <c r="QRW57" s="233"/>
      <c r="QRX57" s="233"/>
      <c r="QRY57" s="233"/>
      <c r="QRZ57" s="233"/>
      <c r="QSA57" s="231"/>
      <c r="QSB57" s="231"/>
      <c r="QSC57" s="229"/>
      <c r="QSD57" s="230"/>
      <c r="QSE57" s="231"/>
      <c r="QSF57" s="232"/>
      <c r="QSG57" s="233"/>
      <c r="QSH57" s="233"/>
      <c r="QSI57" s="233"/>
      <c r="QSJ57" s="233"/>
      <c r="QSK57" s="233"/>
      <c r="QSL57" s="233"/>
      <c r="QSM57" s="231"/>
      <c r="QSN57" s="231"/>
      <c r="QSO57" s="229"/>
      <c r="QSP57" s="230"/>
      <c r="QSQ57" s="231"/>
      <c r="QSR57" s="232"/>
      <c r="QSS57" s="233"/>
      <c r="QST57" s="233"/>
      <c r="QSU57" s="233"/>
      <c r="QSV57" s="233"/>
      <c r="QSW57" s="233"/>
      <c r="QSX57" s="233"/>
      <c r="QSY57" s="231"/>
      <c r="QSZ57" s="231"/>
      <c r="QTA57" s="229"/>
      <c r="QTB57" s="230"/>
      <c r="QTC57" s="231"/>
      <c r="QTD57" s="232"/>
      <c r="QTE57" s="233"/>
      <c r="QTF57" s="233"/>
      <c r="QTG57" s="233"/>
      <c r="QTH57" s="233"/>
      <c r="QTI57" s="233"/>
      <c r="QTJ57" s="233"/>
      <c r="QTK57" s="231"/>
      <c r="QTL57" s="231"/>
      <c r="QTM57" s="229"/>
      <c r="QTN57" s="230"/>
      <c r="QTO57" s="231"/>
      <c r="QTP57" s="232"/>
      <c r="QTQ57" s="233"/>
      <c r="QTR57" s="233"/>
      <c r="QTS57" s="233"/>
      <c r="QTT57" s="233"/>
      <c r="QTU57" s="233"/>
      <c r="QTV57" s="233"/>
      <c r="QTW57" s="231"/>
      <c r="QTX57" s="231"/>
      <c r="QTY57" s="229"/>
      <c r="QTZ57" s="230"/>
      <c r="QUA57" s="231"/>
      <c r="QUB57" s="232"/>
      <c r="QUC57" s="233"/>
      <c r="QUD57" s="233"/>
      <c r="QUE57" s="233"/>
      <c r="QUF57" s="233"/>
      <c r="QUG57" s="233"/>
      <c r="QUH57" s="233"/>
      <c r="QUI57" s="231"/>
      <c r="QUJ57" s="231"/>
      <c r="QUK57" s="229"/>
      <c r="QUL57" s="230"/>
      <c r="QUM57" s="231"/>
      <c r="QUN57" s="232"/>
      <c r="QUO57" s="233"/>
      <c r="QUP57" s="233"/>
      <c r="QUQ57" s="233"/>
      <c r="QUR57" s="233"/>
      <c r="QUS57" s="233"/>
      <c r="QUT57" s="233"/>
      <c r="QUU57" s="231"/>
      <c r="QUV57" s="231"/>
      <c r="QUW57" s="229"/>
      <c r="QUX57" s="230"/>
      <c r="QUY57" s="231"/>
      <c r="QUZ57" s="232"/>
      <c r="QVA57" s="233"/>
      <c r="QVB57" s="233"/>
      <c r="QVC57" s="233"/>
      <c r="QVD57" s="233"/>
      <c r="QVE57" s="233"/>
      <c r="QVF57" s="233"/>
      <c r="QVG57" s="231"/>
      <c r="QVH57" s="231"/>
      <c r="QVI57" s="229"/>
      <c r="QVJ57" s="230"/>
      <c r="QVK57" s="231"/>
      <c r="QVL57" s="232"/>
      <c r="QVM57" s="233"/>
      <c r="QVN57" s="233"/>
      <c r="QVO57" s="233"/>
      <c r="QVP57" s="233"/>
      <c r="QVQ57" s="233"/>
      <c r="QVR57" s="233"/>
      <c r="QVS57" s="231"/>
      <c r="QVT57" s="231"/>
      <c r="QVU57" s="229"/>
      <c r="QVV57" s="230"/>
      <c r="QVW57" s="231"/>
      <c r="QVX57" s="232"/>
      <c r="QVY57" s="233"/>
      <c r="QVZ57" s="233"/>
      <c r="QWA57" s="233"/>
      <c r="QWB57" s="233"/>
      <c r="QWC57" s="233"/>
      <c r="QWD57" s="233"/>
      <c r="QWE57" s="231"/>
      <c r="QWF57" s="231"/>
      <c r="QWG57" s="229"/>
      <c r="QWH57" s="230"/>
      <c r="QWI57" s="231"/>
      <c r="QWJ57" s="232"/>
      <c r="QWK57" s="233"/>
      <c r="QWL57" s="233"/>
      <c r="QWM57" s="233"/>
      <c r="QWN57" s="233"/>
      <c r="QWO57" s="233"/>
      <c r="QWP57" s="233"/>
      <c r="QWQ57" s="231"/>
      <c r="QWR57" s="231"/>
      <c r="QWS57" s="229"/>
      <c r="QWT57" s="230"/>
      <c r="QWU57" s="231"/>
      <c r="QWV57" s="232"/>
      <c r="QWW57" s="233"/>
      <c r="QWX57" s="233"/>
      <c r="QWY57" s="233"/>
      <c r="QWZ57" s="233"/>
      <c r="QXA57" s="233"/>
      <c r="QXB57" s="233"/>
      <c r="QXC57" s="231"/>
      <c r="QXD57" s="231"/>
      <c r="QXE57" s="229"/>
      <c r="QXF57" s="230"/>
      <c r="QXG57" s="231"/>
      <c r="QXH57" s="232"/>
      <c r="QXI57" s="233"/>
      <c r="QXJ57" s="233"/>
      <c r="QXK57" s="233"/>
      <c r="QXL57" s="233"/>
      <c r="QXM57" s="233"/>
      <c r="QXN57" s="233"/>
      <c r="QXO57" s="231"/>
      <c r="QXP57" s="231"/>
      <c r="QXQ57" s="229"/>
      <c r="QXR57" s="230"/>
      <c r="QXS57" s="231"/>
      <c r="QXT57" s="232"/>
      <c r="QXU57" s="233"/>
      <c r="QXV57" s="233"/>
      <c r="QXW57" s="233"/>
      <c r="QXX57" s="233"/>
      <c r="QXY57" s="233"/>
      <c r="QXZ57" s="233"/>
      <c r="QYA57" s="231"/>
      <c r="QYB57" s="231"/>
      <c r="QYC57" s="229"/>
      <c r="QYD57" s="230"/>
      <c r="QYE57" s="231"/>
      <c r="QYF57" s="232"/>
      <c r="QYG57" s="233"/>
      <c r="QYH57" s="233"/>
      <c r="QYI57" s="233"/>
      <c r="QYJ57" s="233"/>
      <c r="QYK57" s="233"/>
      <c r="QYL57" s="233"/>
      <c r="QYM57" s="231"/>
      <c r="QYN57" s="231"/>
      <c r="QYO57" s="229"/>
      <c r="QYP57" s="230"/>
      <c r="QYQ57" s="231"/>
      <c r="QYR57" s="232"/>
      <c r="QYS57" s="233"/>
      <c r="QYT57" s="233"/>
      <c r="QYU57" s="233"/>
      <c r="QYV57" s="233"/>
      <c r="QYW57" s="233"/>
      <c r="QYX57" s="233"/>
      <c r="QYY57" s="231"/>
      <c r="QYZ57" s="231"/>
      <c r="QZA57" s="229"/>
      <c r="QZB57" s="230"/>
      <c r="QZC57" s="231"/>
      <c r="QZD57" s="232"/>
      <c r="QZE57" s="233"/>
      <c r="QZF57" s="233"/>
      <c r="QZG57" s="233"/>
      <c r="QZH57" s="233"/>
      <c r="QZI57" s="233"/>
      <c r="QZJ57" s="233"/>
      <c r="QZK57" s="231"/>
      <c r="QZL57" s="231"/>
      <c r="QZM57" s="229"/>
      <c r="QZN57" s="230"/>
      <c r="QZO57" s="231"/>
      <c r="QZP57" s="232"/>
      <c r="QZQ57" s="233"/>
      <c r="QZR57" s="233"/>
      <c r="QZS57" s="233"/>
      <c r="QZT57" s="233"/>
      <c r="QZU57" s="233"/>
      <c r="QZV57" s="233"/>
      <c r="QZW57" s="231"/>
      <c r="QZX57" s="231"/>
      <c r="QZY57" s="229"/>
      <c r="QZZ57" s="230"/>
      <c r="RAA57" s="231"/>
      <c r="RAB57" s="232"/>
      <c r="RAC57" s="233"/>
      <c r="RAD57" s="233"/>
      <c r="RAE57" s="233"/>
      <c r="RAF57" s="233"/>
      <c r="RAG57" s="233"/>
      <c r="RAH57" s="233"/>
      <c r="RAI57" s="231"/>
      <c r="RAJ57" s="231"/>
      <c r="RAK57" s="229"/>
      <c r="RAL57" s="230"/>
      <c r="RAM57" s="231"/>
      <c r="RAN57" s="232"/>
      <c r="RAO57" s="233"/>
      <c r="RAP57" s="233"/>
      <c r="RAQ57" s="233"/>
      <c r="RAR57" s="233"/>
      <c r="RAS57" s="233"/>
      <c r="RAT57" s="233"/>
      <c r="RAU57" s="231"/>
      <c r="RAV57" s="231"/>
      <c r="RAW57" s="229"/>
      <c r="RAX57" s="230"/>
      <c r="RAY57" s="231"/>
      <c r="RAZ57" s="232"/>
      <c r="RBA57" s="233"/>
      <c r="RBB57" s="233"/>
      <c r="RBC57" s="233"/>
      <c r="RBD57" s="233"/>
      <c r="RBE57" s="233"/>
      <c r="RBF57" s="233"/>
      <c r="RBG57" s="231"/>
      <c r="RBH57" s="231"/>
      <c r="RBI57" s="229"/>
      <c r="RBJ57" s="230"/>
      <c r="RBK57" s="231"/>
      <c r="RBL57" s="232"/>
      <c r="RBM57" s="233"/>
      <c r="RBN57" s="233"/>
      <c r="RBO57" s="233"/>
      <c r="RBP57" s="233"/>
      <c r="RBQ57" s="233"/>
      <c r="RBR57" s="233"/>
      <c r="RBS57" s="231"/>
      <c r="RBT57" s="231"/>
      <c r="RBU57" s="229"/>
      <c r="RBV57" s="230"/>
      <c r="RBW57" s="231"/>
      <c r="RBX57" s="232"/>
      <c r="RBY57" s="233"/>
      <c r="RBZ57" s="233"/>
      <c r="RCA57" s="233"/>
      <c r="RCB57" s="233"/>
      <c r="RCC57" s="233"/>
      <c r="RCD57" s="233"/>
      <c r="RCE57" s="231"/>
      <c r="RCF57" s="231"/>
      <c r="RCG57" s="229"/>
      <c r="RCH57" s="230"/>
      <c r="RCI57" s="231"/>
      <c r="RCJ57" s="232"/>
      <c r="RCK57" s="233"/>
      <c r="RCL57" s="233"/>
      <c r="RCM57" s="233"/>
      <c r="RCN57" s="233"/>
      <c r="RCO57" s="233"/>
      <c r="RCP57" s="233"/>
      <c r="RCQ57" s="231"/>
      <c r="RCR57" s="231"/>
      <c r="RCS57" s="229"/>
      <c r="RCT57" s="230"/>
      <c r="RCU57" s="231"/>
      <c r="RCV57" s="232"/>
      <c r="RCW57" s="233"/>
      <c r="RCX57" s="233"/>
      <c r="RCY57" s="233"/>
      <c r="RCZ57" s="233"/>
      <c r="RDA57" s="233"/>
      <c r="RDB57" s="233"/>
      <c r="RDC57" s="231"/>
      <c r="RDD57" s="231"/>
      <c r="RDE57" s="229"/>
      <c r="RDF57" s="230"/>
      <c r="RDG57" s="231"/>
      <c r="RDH57" s="232"/>
      <c r="RDI57" s="233"/>
      <c r="RDJ57" s="233"/>
      <c r="RDK57" s="233"/>
      <c r="RDL57" s="233"/>
      <c r="RDM57" s="233"/>
      <c r="RDN57" s="233"/>
      <c r="RDO57" s="231"/>
      <c r="RDP57" s="231"/>
      <c r="RDQ57" s="229"/>
      <c r="RDR57" s="230"/>
      <c r="RDS57" s="231"/>
      <c r="RDT57" s="232"/>
      <c r="RDU57" s="233"/>
      <c r="RDV57" s="233"/>
      <c r="RDW57" s="233"/>
      <c r="RDX57" s="233"/>
      <c r="RDY57" s="233"/>
      <c r="RDZ57" s="233"/>
      <c r="REA57" s="231"/>
      <c r="REB57" s="231"/>
      <c r="REC57" s="229"/>
      <c r="RED57" s="230"/>
      <c r="REE57" s="231"/>
      <c r="REF57" s="232"/>
      <c r="REG57" s="233"/>
      <c r="REH57" s="233"/>
      <c r="REI57" s="233"/>
      <c r="REJ57" s="233"/>
      <c r="REK57" s="233"/>
      <c r="REL57" s="233"/>
      <c r="REM57" s="231"/>
      <c r="REN57" s="231"/>
      <c r="REO57" s="229"/>
      <c r="REP57" s="230"/>
      <c r="REQ57" s="231"/>
      <c r="RER57" s="232"/>
      <c r="RES57" s="233"/>
      <c r="RET57" s="233"/>
      <c r="REU57" s="233"/>
      <c r="REV57" s="233"/>
      <c r="REW57" s="233"/>
      <c r="REX57" s="233"/>
      <c r="REY57" s="231"/>
      <c r="REZ57" s="231"/>
      <c r="RFA57" s="229"/>
      <c r="RFB57" s="230"/>
      <c r="RFC57" s="231"/>
      <c r="RFD57" s="232"/>
      <c r="RFE57" s="233"/>
      <c r="RFF57" s="233"/>
      <c r="RFG57" s="233"/>
      <c r="RFH57" s="233"/>
      <c r="RFI57" s="233"/>
      <c r="RFJ57" s="233"/>
      <c r="RFK57" s="231"/>
      <c r="RFL57" s="231"/>
      <c r="RFM57" s="229"/>
      <c r="RFN57" s="230"/>
      <c r="RFO57" s="231"/>
      <c r="RFP57" s="232"/>
      <c r="RFQ57" s="233"/>
      <c r="RFR57" s="233"/>
      <c r="RFS57" s="233"/>
      <c r="RFT57" s="233"/>
      <c r="RFU57" s="233"/>
      <c r="RFV57" s="233"/>
      <c r="RFW57" s="231"/>
      <c r="RFX57" s="231"/>
      <c r="RFY57" s="229"/>
      <c r="RFZ57" s="230"/>
      <c r="RGA57" s="231"/>
      <c r="RGB57" s="232"/>
      <c r="RGC57" s="233"/>
      <c r="RGD57" s="233"/>
      <c r="RGE57" s="233"/>
      <c r="RGF57" s="233"/>
      <c r="RGG57" s="233"/>
      <c r="RGH57" s="233"/>
      <c r="RGI57" s="231"/>
      <c r="RGJ57" s="231"/>
      <c r="RGK57" s="229"/>
      <c r="RGL57" s="230"/>
      <c r="RGM57" s="231"/>
      <c r="RGN57" s="232"/>
      <c r="RGO57" s="233"/>
      <c r="RGP57" s="233"/>
      <c r="RGQ57" s="233"/>
      <c r="RGR57" s="233"/>
      <c r="RGS57" s="233"/>
      <c r="RGT57" s="233"/>
      <c r="RGU57" s="231"/>
      <c r="RGV57" s="231"/>
      <c r="RGW57" s="229"/>
      <c r="RGX57" s="230"/>
      <c r="RGY57" s="231"/>
      <c r="RGZ57" s="232"/>
      <c r="RHA57" s="233"/>
      <c r="RHB57" s="233"/>
      <c r="RHC57" s="233"/>
      <c r="RHD57" s="233"/>
      <c r="RHE57" s="233"/>
      <c r="RHF57" s="233"/>
      <c r="RHG57" s="231"/>
      <c r="RHH57" s="231"/>
      <c r="RHI57" s="229"/>
      <c r="RHJ57" s="230"/>
      <c r="RHK57" s="231"/>
      <c r="RHL57" s="232"/>
      <c r="RHM57" s="233"/>
      <c r="RHN57" s="233"/>
      <c r="RHO57" s="233"/>
      <c r="RHP57" s="233"/>
      <c r="RHQ57" s="233"/>
      <c r="RHR57" s="233"/>
      <c r="RHS57" s="231"/>
      <c r="RHT57" s="231"/>
      <c r="RHU57" s="229"/>
      <c r="RHV57" s="230"/>
      <c r="RHW57" s="231"/>
      <c r="RHX57" s="232"/>
      <c r="RHY57" s="233"/>
      <c r="RHZ57" s="233"/>
      <c r="RIA57" s="233"/>
      <c r="RIB57" s="233"/>
      <c r="RIC57" s="233"/>
      <c r="RID57" s="233"/>
      <c r="RIE57" s="231"/>
      <c r="RIF57" s="231"/>
      <c r="RIG57" s="229"/>
      <c r="RIH57" s="230"/>
      <c r="RII57" s="231"/>
      <c r="RIJ57" s="232"/>
      <c r="RIK57" s="233"/>
      <c r="RIL57" s="233"/>
      <c r="RIM57" s="233"/>
      <c r="RIN57" s="233"/>
      <c r="RIO57" s="233"/>
      <c r="RIP57" s="233"/>
      <c r="RIQ57" s="231"/>
      <c r="RIR57" s="231"/>
      <c r="RIS57" s="229"/>
      <c r="RIT57" s="230"/>
      <c r="RIU57" s="231"/>
      <c r="RIV57" s="232"/>
      <c r="RIW57" s="233"/>
      <c r="RIX57" s="233"/>
      <c r="RIY57" s="233"/>
      <c r="RIZ57" s="233"/>
      <c r="RJA57" s="233"/>
      <c r="RJB57" s="233"/>
      <c r="RJC57" s="231"/>
      <c r="RJD57" s="231"/>
      <c r="RJE57" s="229"/>
      <c r="RJF57" s="230"/>
      <c r="RJG57" s="231"/>
      <c r="RJH57" s="232"/>
      <c r="RJI57" s="233"/>
      <c r="RJJ57" s="233"/>
      <c r="RJK57" s="233"/>
      <c r="RJL57" s="233"/>
      <c r="RJM57" s="233"/>
      <c r="RJN57" s="233"/>
      <c r="RJO57" s="231"/>
      <c r="RJP57" s="231"/>
      <c r="RJQ57" s="229"/>
      <c r="RJR57" s="230"/>
      <c r="RJS57" s="231"/>
      <c r="RJT57" s="232"/>
      <c r="RJU57" s="233"/>
      <c r="RJV57" s="233"/>
      <c r="RJW57" s="233"/>
      <c r="RJX57" s="233"/>
      <c r="RJY57" s="233"/>
      <c r="RJZ57" s="233"/>
      <c r="RKA57" s="231"/>
      <c r="RKB57" s="231"/>
      <c r="RKC57" s="229"/>
      <c r="RKD57" s="230"/>
      <c r="RKE57" s="231"/>
      <c r="RKF57" s="232"/>
      <c r="RKG57" s="233"/>
      <c r="RKH57" s="233"/>
      <c r="RKI57" s="233"/>
      <c r="RKJ57" s="233"/>
      <c r="RKK57" s="233"/>
      <c r="RKL57" s="233"/>
      <c r="RKM57" s="231"/>
      <c r="RKN57" s="231"/>
      <c r="RKO57" s="229"/>
      <c r="RKP57" s="230"/>
      <c r="RKQ57" s="231"/>
      <c r="RKR57" s="232"/>
      <c r="RKS57" s="233"/>
      <c r="RKT57" s="233"/>
      <c r="RKU57" s="233"/>
      <c r="RKV57" s="233"/>
      <c r="RKW57" s="233"/>
      <c r="RKX57" s="233"/>
      <c r="RKY57" s="231"/>
      <c r="RKZ57" s="231"/>
      <c r="RLA57" s="229"/>
      <c r="RLB57" s="230"/>
      <c r="RLC57" s="231"/>
      <c r="RLD57" s="232"/>
      <c r="RLE57" s="233"/>
      <c r="RLF57" s="233"/>
      <c r="RLG57" s="233"/>
      <c r="RLH57" s="233"/>
      <c r="RLI57" s="233"/>
      <c r="RLJ57" s="233"/>
      <c r="RLK57" s="231"/>
      <c r="RLL57" s="231"/>
      <c r="RLM57" s="229"/>
      <c r="RLN57" s="230"/>
      <c r="RLO57" s="231"/>
      <c r="RLP57" s="232"/>
      <c r="RLQ57" s="233"/>
      <c r="RLR57" s="233"/>
      <c r="RLS57" s="233"/>
      <c r="RLT57" s="233"/>
      <c r="RLU57" s="233"/>
      <c r="RLV57" s="233"/>
      <c r="RLW57" s="231"/>
      <c r="RLX57" s="231"/>
      <c r="RLY57" s="229"/>
      <c r="RLZ57" s="230"/>
      <c r="RMA57" s="231"/>
      <c r="RMB57" s="232"/>
      <c r="RMC57" s="233"/>
      <c r="RMD57" s="233"/>
      <c r="RME57" s="233"/>
      <c r="RMF57" s="233"/>
      <c r="RMG57" s="233"/>
      <c r="RMH57" s="233"/>
      <c r="RMI57" s="231"/>
      <c r="RMJ57" s="231"/>
      <c r="RMK57" s="229"/>
      <c r="RML57" s="230"/>
      <c r="RMM57" s="231"/>
      <c r="RMN57" s="232"/>
      <c r="RMO57" s="233"/>
      <c r="RMP57" s="233"/>
      <c r="RMQ57" s="233"/>
      <c r="RMR57" s="233"/>
      <c r="RMS57" s="233"/>
      <c r="RMT57" s="233"/>
      <c r="RMU57" s="231"/>
      <c r="RMV57" s="231"/>
      <c r="RMW57" s="229"/>
      <c r="RMX57" s="230"/>
      <c r="RMY57" s="231"/>
      <c r="RMZ57" s="232"/>
      <c r="RNA57" s="233"/>
      <c r="RNB57" s="233"/>
      <c r="RNC57" s="233"/>
      <c r="RND57" s="233"/>
      <c r="RNE57" s="233"/>
      <c r="RNF57" s="233"/>
      <c r="RNG57" s="231"/>
      <c r="RNH57" s="231"/>
      <c r="RNI57" s="229"/>
      <c r="RNJ57" s="230"/>
      <c r="RNK57" s="231"/>
      <c r="RNL57" s="232"/>
      <c r="RNM57" s="233"/>
      <c r="RNN57" s="233"/>
      <c r="RNO57" s="233"/>
      <c r="RNP57" s="233"/>
      <c r="RNQ57" s="233"/>
      <c r="RNR57" s="233"/>
      <c r="RNS57" s="231"/>
      <c r="RNT57" s="231"/>
      <c r="RNU57" s="229"/>
      <c r="RNV57" s="230"/>
      <c r="RNW57" s="231"/>
      <c r="RNX57" s="232"/>
      <c r="RNY57" s="233"/>
      <c r="RNZ57" s="233"/>
      <c r="ROA57" s="233"/>
      <c r="ROB57" s="233"/>
      <c r="ROC57" s="233"/>
      <c r="ROD57" s="233"/>
      <c r="ROE57" s="231"/>
      <c r="ROF57" s="231"/>
      <c r="ROG57" s="229"/>
      <c r="ROH57" s="230"/>
      <c r="ROI57" s="231"/>
      <c r="ROJ57" s="232"/>
      <c r="ROK57" s="233"/>
      <c r="ROL57" s="233"/>
      <c r="ROM57" s="233"/>
      <c r="RON57" s="233"/>
      <c r="ROO57" s="233"/>
      <c r="ROP57" s="233"/>
      <c r="ROQ57" s="231"/>
      <c r="ROR57" s="231"/>
      <c r="ROS57" s="229"/>
      <c r="ROT57" s="230"/>
      <c r="ROU57" s="231"/>
      <c r="ROV57" s="232"/>
      <c r="ROW57" s="233"/>
      <c r="ROX57" s="233"/>
      <c r="ROY57" s="233"/>
      <c r="ROZ57" s="233"/>
      <c r="RPA57" s="233"/>
      <c r="RPB57" s="233"/>
      <c r="RPC57" s="231"/>
      <c r="RPD57" s="231"/>
      <c r="RPE57" s="229"/>
      <c r="RPF57" s="230"/>
      <c r="RPG57" s="231"/>
      <c r="RPH57" s="232"/>
      <c r="RPI57" s="233"/>
      <c r="RPJ57" s="233"/>
      <c r="RPK57" s="233"/>
      <c r="RPL57" s="233"/>
      <c r="RPM57" s="233"/>
      <c r="RPN57" s="233"/>
      <c r="RPO57" s="231"/>
      <c r="RPP57" s="231"/>
      <c r="RPQ57" s="229"/>
      <c r="RPR57" s="230"/>
      <c r="RPS57" s="231"/>
      <c r="RPT57" s="232"/>
      <c r="RPU57" s="233"/>
      <c r="RPV57" s="233"/>
      <c r="RPW57" s="233"/>
      <c r="RPX57" s="233"/>
      <c r="RPY57" s="233"/>
      <c r="RPZ57" s="233"/>
      <c r="RQA57" s="231"/>
      <c r="RQB57" s="231"/>
      <c r="RQC57" s="229"/>
      <c r="RQD57" s="230"/>
      <c r="RQE57" s="231"/>
      <c r="RQF57" s="232"/>
      <c r="RQG57" s="233"/>
      <c r="RQH57" s="233"/>
      <c r="RQI57" s="233"/>
      <c r="RQJ57" s="233"/>
      <c r="RQK57" s="233"/>
      <c r="RQL57" s="233"/>
      <c r="RQM57" s="231"/>
      <c r="RQN57" s="231"/>
      <c r="RQO57" s="229"/>
      <c r="RQP57" s="230"/>
      <c r="RQQ57" s="231"/>
      <c r="RQR57" s="232"/>
      <c r="RQS57" s="233"/>
      <c r="RQT57" s="233"/>
      <c r="RQU57" s="233"/>
      <c r="RQV57" s="233"/>
      <c r="RQW57" s="233"/>
      <c r="RQX57" s="233"/>
      <c r="RQY57" s="231"/>
      <c r="RQZ57" s="231"/>
      <c r="RRA57" s="229"/>
      <c r="RRB57" s="230"/>
      <c r="RRC57" s="231"/>
      <c r="RRD57" s="232"/>
      <c r="RRE57" s="233"/>
      <c r="RRF57" s="233"/>
      <c r="RRG57" s="233"/>
      <c r="RRH57" s="233"/>
      <c r="RRI57" s="233"/>
      <c r="RRJ57" s="233"/>
      <c r="RRK57" s="231"/>
      <c r="RRL57" s="231"/>
      <c r="RRM57" s="229"/>
      <c r="RRN57" s="230"/>
      <c r="RRO57" s="231"/>
      <c r="RRP57" s="232"/>
      <c r="RRQ57" s="233"/>
      <c r="RRR57" s="233"/>
      <c r="RRS57" s="233"/>
      <c r="RRT57" s="233"/>
      <c r="RRU57" s="233"/>
      <c r="RRV57" s="233"/>
      <c r="RRW57" s="231"/>
      <c r="RRX57" s="231"/>
      <c r="RRY57" s="229"/>
      <c r="RRZ57" s="230"/>
      <c r="RSA57" s="231"/>
      <c r="RSB57" s="232"/>
      <c r="RSC57" s="233"/>
      <c r="RSD57" s="233"/>
      <c r="RSE57" s="233"/>
      <c r="RSF57" s="233"/>
      <c r="RSG57" s="233"/>
      <c r="RSH57" s="233"/>
      <c r="RSI57" s="231"/>
      <c r="RSJ57" s="231"/>
      <c r="RSK57" s="229"/>
      <c r="RSL57" s="230"/>
      <c r="RSM57" s="231"/>
      <c r="RSN57" s="232"/>
      <c r="RSO57" s="233"/>
      <c r="RSP57" s="233"/>
      <c r="RSQ57" s="233"/>
      <c r="RSR57" s="233"/>
      <c r="RSS57" s="233"/>
      <c r="RST57" s="233"/>
      <c r="RSU57" s="231"/>
      <c r="RSV57" s="231"/>
      <c r="RSW57" s="229"/>
      <c r="RSX57" s="230"/>
      <c r="RSY57" s="231"/>
      <c r="RSZ57" s="232"/>
      <c r="RTA57" s="233"/>
      <c r="RTB57" s="233"/>
      <c r="RTC57" s="233"/>
      <c r="RTD57" s="233"/>
      <c r="RTE57" s="233"/>
      <c r="RTF57" s="233"/>
      <c r="RTG57" s="231"/>
      <c r="RTH57" s="231"/>
      <c r="RTI57" s="229"/>
      <c r="RTJ57" s="230"/>
      <c r="RTK57" s="231"/>
      <c r="RTL57" s="232"/>
      <c r="RTM57" s="233"/>
      <c r="RTN57" s="233"/>
      <c r="RTO57" s="233"/>
      <c r="RTP57" s="233"/>
      <c r="RTQ57" s="233"/>
      <c r="RTR57" s="233"/>
      <c r="RTS57" s="231"/>
      <c r="RTT57" s="231"/>
      <c r="RTU57" s="229"/>
      <c r="RTV57" s="230"/>
      <c r="RTW57" s="231"/>
      <c r="RTX57" s="232"/>
      <c r="RTY57" s="233"/>
      <c r="RTZ57" s="233"/>
      <c r="RUA57" s="233"/>
      <c r="RUB57" s="233"/>
      <c r="RUC57" s="233"/>
      <c r="RUD57" s="233"/>
      <c r="RUE57" s="231"/>
      <c r="RUF57" s="231"/>
      <c r="RUG57" s="229"/>
      <c r="RUH57" s="230"/>
      <c r="RUI57" s="231"/>
      <c r="RUJ57" s="232"/>
      <c r="RUK57" s="233"/>
      <c r="RUL57" s="233"/>
      <c r="RUM57" s="233"/>
      <c r="RUN57" s="233"/>
      <c r="RUO57" s="233"/>
      <c r="RUP57" s="233"/>
      <c r="RUQ57" s="231"/>
      <c r="RUR57" s="231"/>
      <c r="RUS57" s="229"/>
      <c r="RUT57" s="230"/>
      <c r="RUU57" s="231"/>
      <c r="RUV57" s="232"/>
      <c r="RUW57" s="233"/>
      <c r="RUX57" s="233"/>
      <c r="RUY57" s="233"/>
      <c r="RUZ57" s="233"/>
      <c r="RVA57" s="233"/>
      <c r="RVB57" s="233"/>
      <c r="RVC57" s="231"/>
      <c r="RVD57" s="231"/>
      <c r="RVE57" s="229"/>
      <c r="RVF57" s="230"/>
      <c r="RVG57" s="231"/>
      <c r="RVH57" s="232"/>
      <c r="RVI57" s="233"/>
      <c r="RVJ57" s="233"/>
      <c r="RVK57" s="233"/>
      <c r="RVL57" s="233"/>
      <c r="RVM57" s="233"/>
      <c r="RVN57" s="233"/>
      <c r="RVO57" s="231"/>
      <c r="RVP57" s="231"/>
      <c r="RVQ57" s="229"/>
      <c r="RVR57" s="230"/>
      <c r="RVS57" s="231"/>
      <c r="RVT57" s="232"/>
      <c r="RVU57" s="233"/>
      <c r="RVV57" s="233"/>
      <c r="RVW57" s="233"/>
      <c r="RVX57" s="233"/>
      <c r="RVY57" s="233"/>
      <c r="RVZ57" s="233"/>
      <c r="RWA57" s="231"/>
      <c r="RWB57" s="231"/>
      <c r="RWC57" s="229"/>
      <c r="RWD57" s="230"/>
      <c r="RWE57" s="231"/>
      <c r="RWF57" s="232"/>
      <c r="RWG57" s="233"/>
      <c r="RWH57" s="233"/>
      <c r="RWI57" s="233"/>
      <c r="RWJ57" s="233"/>
      <c r="RWK57" s="233"/>
      <c r="RWL57" s="233"/>
      <c r="RWM57" s="231"/>
      <c r="RWN57" s="231"/>
      <c r="RWO57" s="229"/>
      <c r="RWP57" s="230"/>
      <c r="RWQ57" s="231"/>
      <c r="RWR57" s="232"/>
      <c r="RWS57" s="233"/>
      <c r="RWT57" s="233"/>
      <c r="RWU57" s="233"/>
      <c r="RWV57" s="233"/>
      <c r="RWW57" s="233"/>
      <c r="RWX57" s="233"/>
      <c r="RWY57" s="231"/>
      <c r="RWZ57" s="231"/>
      <c r="RXA57" s="229"/>
      <c r="RXB57" s="230"/>
      <c r="RXC57" s="231"/>
      <c r="RXD57" s="232"/>
      <c r="RXE57" s="233"/>
      <c r="RXF57" s="233"/>
      <c r="RXG57" s="233"/>
      <c r="RXH57" s="233"/>
      <c r="RXI57" s="233"/>
      <c r="RXJ57" s="233"/>
      <c r="RXK57" s="231"/>
      <c r="RXL57" s="231"/>
      <c r="RXM57" s="229"/>
      <c r="RXN57" s="230"/>
      <c r="RXO57" s="231"/>
      <c r="RXP57" s="232"/>
      <c r="RXQ57" s="233"/>
      <c r="RXR57" s="233"/>
      <c r="RXS57" s="233"/>
      <c r="RXT57" s="233"/>
      <c r="RXU57" s="233"/>
      <c r="RXV57" s="233"/>
      <c r="RXW57" s="231"/>
      <c r="RXX57" s="231"/>
      <c r="RXY57" s="229"/>
      <c r="RXZ57" s="230"/>
      <c r="RYA57" s="231"/>
      <c r="RYB57" s="232"/>
      <c r="RYC57" s="233"/>
      <c r="RYD57" s="233"/>
      <c r="RYE57" s="233"/>
      <c r="RYF57" s="233"/>
      <c r="RYG57" s="233"/>
      <c r="RYH57" s="233"/>
      <c r="RYI57" s="231"/>
      <c r="RYJ57" s="231"/>
      <c r="RYK57" s="229"/>
      <c r="RYL57" s="230"/>
      <c r="RYM57" s="231"/>
      <c r="RYN57" s="232"/>
      <c r="RYO57" s="233"/>
      <c r="RYP57" s="233"/>
      <c r="RYQ57" s="233"/>
      <c r="RYR57" s="233"/>
      <c r="RYS57" s="233"/>
      <c r="RYT57" s="233"/>
      <c r="RYU57" s="231"/>
      <c r="RYV57" s="231"/>
      <c r="RYW57" s="229"/>
      <c r="RYX57" s="230"/>
      <c r="RYY57" s="231"/>
      <c r="RYZ57" s="232"/>
      <c r="RZA57" s="233"/>
      <c r="RZB57" s="233"/>
      <c r="RZC57" s="233"/>
      <c r="RZD57" s="233"/>
      <c r="RZE57" s="233"/>
      <c r="RZF57" s="233"/>
      <c r="RZG57" s="231"/>
      <c r="RZH57" s="231"/>
      <c r="RZI57" s="229"/>
      <c r="RZJ57" s="230"/>
      <c r="RZK57" s="231"/>
      <c r="RZL57" s="232"/>
      <c r="RZM57" s="233"/>
      <c r="RZN57" s="233"/>
      <c r="RZO57" s="233"/>
      <c r="RZP57" s="233"/>
      <c r="RZQ57" s="233"/>
      <c r="RZR57" s="233"/>
      <c r="RZS57" s="231"/>
      <c r="RZT57" s="231"/>
      <c r="RZU57" s="229"/>
      <c r="RZV57" s="230"/>
      <c r="RZW57" s="231"/>
      <c r="RZX57" s="232"/>
      <c r="RZY57" s="233"/>
      <c r="RZZ57" s="233"/>
      <c r="SAA57" s="233"/>
      <c r="SAB57" s="233"/>
      <c r="SAC57" s="233"/>
      <c r="SAD57" s="233"/>
      <c r="SAE57" s="231"/>
      <c r="SAF57" s="231"/>
      <c r="SAG57" s="229"/>
      <c r="SAH57" s="230"/>
      <c r="SAI57" s="231"/>
      <c r="SAJ57" s="232"/>
      <c r="SAK57" s="233"/>
      <c r="SAL57" s="233"/>
      <c r="SAM57" s="233"/>
      <c r="SAN57" s="233"/>
      <c r="SAO57" s="233"/>
      <c r="SAP57" s="233"/>
      <c r="SAQ57" s="231"/>
      <c r="SAR57" s="231"/>
      <c r="SAS57" s="229"/>
      <c r="SAT57" s="230"/>
      <c r="SAU57" s="231"/>
      <c r="SAV57" s="232"/>
      <c r="SAW57" s="233"/>
      <c r="SAX57" s="233"/>
      <c r="SAY57" s="233"/>
      <c r="SAZ57" s="233"/>
      <c r="SBA57" s="233"/>
      <c r="SBB57" s="233"/>
      <c r="SBC57" s="231"/>
      <c r="SBD57" s="231"/>
      <c r="SBE57" s="229"/>
      <c r="SBF57" s="230"/>
      <c r="SBG57" s="231"/>
      <c r="SBH57" s="232"/>
      <c r="SBI57" s="233"/>
      <c r="SBJ57" s="233"/>
      <c r="SBK57" s="233"/>
      <c r="SBL57" s="233"/>
      <c r="SBM57" s="233"/>
      <c r="SBN57" s="233"/>
      <c r="SBO57" s="231"/>
      <c r="SBP57" s="231"/>
      <c r="SBQ57" s="229"/>
      <c r="SBR57" s="230"/>
      <c r="SBS57" s="231"/>
      <c r="SBT57" s="232"/>
      <c r="SBU57" s="233"/>
      <c r="SBV57" s="233"/>
      <c r="SBW57" s="233"/>
      <c r="SBX57" s="233"/>
      <c r="SBY57" s="233"/>
      <c r="SBZ57" s="233"/>
      <c r="SCA57" s="231"/>
      <c r="SCB57" s="231"/>
      <c r="SCC57" s="229"/>
      <c r="SCD57" s="230"/>
      <c r="SCE57" s="231"/>
      <c r="SCF57" s="232"/>
      <c r="SCG57" s="233"/>
      <c r="SCH57" s="233"/>
      <c r="SCI57" s="233"/>
      <c r="SCJ57" s="233"/>
      <c r="SCK57" s="233"/>
      <c r="SCL57" s="233"/>
      <c r="SCM57" s="231"/>
      <c r="SCN57" s="231"/>
      <c r="SCO57" s="229"/>
      <c r="SCP57" s="230"/>
      <c r="SCQ57" s="231"/>
      <c r="SCR57" s="232"/>
      <c r="SCS57" s="233"/>
      <c r="SCT57" s="233"/>
      <c r="SCU57" s="233"/>
      <c r="SCV57" s="233"/>
      <c r="SCW57" s="233"/>
      <c r="SCX57" s="233"/>
      <c r="SCY57" s="231"/>
      <c r="SCZ57" s="231"/>
      <c r="SDA57" s="229"/>
      <c r="SDB57" s="230"/>
      <c r="SDC57" s="231"/>
      <c r="SDD57" s="232"/>
      <c r="SDE57" s="233"/>
      <c r="SDF57" s="233"/>
      <c r="SDG57" s="233"/>
      <c r="SDH57" s="233"/>
      <c r="SDI57" s="233"/>
      <c r="SDJ57" s="233"/>
      <c r="SDK57" s="231"/>
      <c r="SDL57" s="231"/>
      <c r="SDM57" s="229"/>
      <c r="SDN57" s="230"/>
      <c r="SDO57" s="231"/>
      <c r="SDP57" s="232"/>
      <c r="SDQ57" s="233"/>
      <c r="SDR57" s="233"/>
      <c r="SDS57" s="233"/>
      <c r="SDT57" s="233"/>
      <c r="SDU57" s="233"/>
      <c r="SDV57" s="233"/>
      <c r="SDW57" s="231"/>
      <c r="SDX57" s="231"/>
      <c r="SDY57" s="229"/>
      <c r="SDZ57" s="230"/>
      <c r="SEA57" s="231"/>
      <c r="SEB57" s="232"/>
      <c r="SEC57" s="233"/>
      <c r="SED57" s="233"/>
      <c r="SEE57" s="233"/>
      <c r="SEF57" s="233"/>
      <c r="SEG57" s="233"/>
      <c r="SEH57" s="233"/>
      <c r="SEI57" s="231"/>
      <c r="SEJ57" s="231"/>
      <c r="SEK57" s="229"/>
      <c r="SEL57" s="230"/>
      <c r="SEM57" s="231"/>
      <c r="SEN57" s="232"/>
      <c r="SEO57" s="233"/>
      <c r="SEP57" s="233"/>
      <c r="SEQ57" s="233"/>
      <c r="SER57" s="233"/>
      <c r="SES57" s="233"/>
      <c r="SET57" s="233"/>
      <c r="SEU57" s="231"/>
      <c r="SEV57" s="231"/>
      <c r="SEW57" s="229"/>
      <c r="SEX57" s="230"/>
      <c r="SEY57" s="231"/>
      <c r="SEZ57" s="232"/>
      <c r="SFA57" s="233"/>
      <c r="SFB57" s="233"/>
      <c r="SFC57" s="233"/>
      <c r="SFD57" s="233"/>
      <c r="SFE57" s="233"/>
      <c r="SFF57" s="233"/>
      <c r="SFG57" s="231"/>
      <c r="SFH57" s="231"/>
      <c r="SFI57" s="229"/>
      <c r="SFJ57" s="230"/>
      <c r="SFK57" s="231"/>
      <c r="SFL57" s="232"/>
      <c r="SFM57" s="233"/>
      <c r="SFN57" s="233"/>
      <c r="SFO57" s="233"/>
      <c r="SFP57" s="233"/>
      <c r="SFQ57" s="233"/>
      <c r="SFR57" s="233"/>
      <c r="SFS57" s="231"/>
      <c r="SFT57" s="231"/>
      <c r="SFU57" s="229"/>
      <c r="SFV57" s="230"/>
      <c r="SFW57" s="231"/>
      <c r="SFX57" s="232"/>
      <c r="SFY57" s="233"/>
      <c r="SFZ57" s="233"/>
      <c r="SGA57" s="233"/>
      <c r="SGB57" s="233"/>
      <c r="SGC57" s="233"/>
      <c r="SGD57" s="233"/>
      <c r="SGE57" s="231"/>
      <c r="SGF57" s="231"/>
      <c r="SGG57" s="229"/>
      <c r="SGH57" s="230"/>
      <c r="SGI57" s="231"/>
      <c r="SGJ57" s="232"/>
      <c r="SGK57" s="233"/>
      <c r="SGL57" s="233"/>
      <c r="SGM57" s="233"/>
      <c r="SGN57" s="233"/>
      <c r="SGO57" s="233"/>
      <c r="SGP57" s="233"/>
      <c r="SGQ57" s="231"/>
      <c r="SGR57" s="231"/>
      <c r="SGS57" s="229"/>
      <c r="SGT57" s="230"/>
      <c r="SGU57" s="231"/>
      <c r="SGV57" s="232"/>
      <c r="SGW57" s="233"/>
      <c r="SGX57" s="233"/>
      <c r="SGY57" s="233"/>
      <c r="SGZ57" s="233"/>
      <c r="SHA57" s="233"/>
      <c r="SHB57" s="233"/>
      <c r="SHC57" s="231"/>
      <c r="SHD57" s="231"/>
      <c r="SHE57" s="229"/>
      <c r="SHF57" s="230"/>
      <c r="SHG57" s="231"/>
      <c r="SHH57" s="232"/>
      <c r="SHI57" s="233"/>
      <c r="SHJ57" s="233"/>
      <c r="SHK57" s="233"/>
      <c r="SHL57" s="233"/>
      <c r="SHM57" s="233"/>
      <c r="SHN57" s="233"/>
      <c r="SHO57" s="231"/>
      <c r="SHP57" s="231"/>
      <c r="SHQ57" s="229"/>
      <c r="SHR57" s="230"/>
      <c r="SHS57" s="231"/>
      <c r="SHT57" s="232"/>
      <c r="SHU57" s="233"/>
      <c r="SHV57" s="233"/>
      <c r="SHW57" s="233"/>
      <c r="SHX57" s="233"/>
      <c r="SHY57" s="233"/>
      <c r="SHZ57" s="233"/>
      <c r="SIA57" s="231"/>
      <c r="SIB57" s="231"/>
      <c r="SIC57" s="229"/>
      <c r="SID57" s="230"/>
      <c r="SIE57" s="231"/>
      <c r="SIF57" s="232"/>
      <c r="SIG57" s="233"/>
      <c r="SIH57" s="233"/>
      <c r="SII57" s="233"/>
      <c r="SIJ57" s="233"/>
      <c r="SIK57" s="233"/>
      <c r="SIL57" s="233"/>
      <c r="SIM57" s="231"/>
      <c r="SIN57" s="231"/>
      <c r="SIO57" s="229"/>
      <c r="SIP57" s="230"/>
      <c r="SIQ57" s="231"/>
      <c r="SIR57" s="232"/>
      <c r="SIS57" s="233"/>
      <c r="SIT57" s="233"/>
      <c r="SIU57" s="233"/>
      <c r="SIV57" s="233"/>
      <c r="SIW57" s="233"/>
      <c r="SIX57" s="233"/>
      <c r="SIY57" s="231"/>
      <c r="SIZ57" s="231"/>
      <c r="SJA57" s="229"/>
      <c r="SJB57" s="230"/>
      <c r="SJC57" s="231"/>
      <c r="SJD57" s="232"/>
      <c r="SJE57" s="233"/>
      <c r="SJF57" s="233"/>
      <c r="SJG57" s="233"/>
      <c r="SJH57" s="233"/>
      <c r="SJI57" s="233"/>
      <c r="SJJ57" s="233"/>
      <c r="SJK57" s="231"/>
      <c r="SJL57" s="231"/>
      <c r="SJM57" s="229"/>
      <c r="SJN57" s="230"/>
      <c r="SJO57" s="231"/>
      <c r="SJP57" s="232"/>
      <c r="SJQ57" s="233"/>
      <c r="SJR57" s="233"/>
      <c r="SJS57" s="233"/>
      <c r="SJT57" s="233"/>
      <c r="SJU57" s="233"/>
      <c r="SJV57" s="233"/>
      <c r="SJW57" s="231"/>
      <c r="SJX57" s="231"/>
      <c r="SJY57" s="229"/>
      <c r="SJZ57" s="230"/>
      <c r="SKA57" s="231"/>
      <c r="SKB57" s="232"/>
      <c r="SKC57" s="233"/>
      <c r="SKD57" s="233"/>
      <c r="SKE57" s="233"/>
      <c r="SKF57" s="233"/>
      <c r="SKG57" s="233"/>
      <c r="SKH57" s="233"/>
      <c r="SKI57" s="231"/>
      <c r="SKJ57" s="231"/>
      <c r="SKK57" s="229"/>
      <c r="SKL57" s="230"/>
      <c r="SKM57" s="231"/>
      <c r="SKN57" s="232"/>
      <c r="SKO57" s="233"/>
      <c r="SKP57" s="233"/>
      <c r="SKQ57" s="233"/>
      <c r="SKR57" s="233"/>
      <c r="SKS57" s="233"/>
      <c r="SKT57" s="233"/>
      <c r="SKU57" s="231"/>
      <c r="SKV57" s="231"/>
      <c r="SKW57" s="229"/>
      <c r="SKX57" s="230"/>
      <c r="SKY57" s="231"/>
      <c r="SKZ57" s="232"/>
      <c r="SLA57" s="233"/>
      <c r="SLB57" s="233"/>
      <c r="SLC57" s="233"/>
      <c r="SLD57" s="233"/>
      <c r="SLE57" s="233"/>
      <c r="SLF57" s="233"/>
      <c r="SLG57" s="231"/>
      <c r="SLH57" s="231"/>
      <c r="SLI57" s="229"/>
      <c r="SLJ57" s="230"/>
      <c r="SLK57" s="231"/>
      <c r="SLL57" s="232"/>
      <c r="SLM57" s="233"/>
      <c r="SLN57" s="233"/>
      <c r="SLO57" s="233"/>
      <c r="SLP57" s="233"/>
      <c r="SLQ57" s="233"/>
      <c r="SLR57" s="233"/>
      <c r="SLS57" s="231"/>
      <c r="SLT57" s="231"/>
      <c r="SLU57" s="229"/>
      <c r="SLV57" s="230"/>
      <c r="SLW57" s="231"/>
      <c r="SLX57" s="232"/>
      <c r="SLY57" s="233"/>
      <c r="SLZ57" s="233"/>
      <c r="SMA57" s="233"/>
      <c r="SMB57" s="233"/>
      <c r="SMC57" s="233"/>
      <c r="SMD57" s="233"/>
      <c r="SME57" s="231"/>
      <c r="SMF57" s="231"/>
      <c r="SMG57" s="229"/>
      <c r="SMH57" s="230"/>
      <c r="SMI57" s="231"/>
      <c r="SMJ57" s="232"/>
      <c r="SMK57" s="233"/>
      <c r="SML57" s="233"/>
      <c r="SMM57" s="233"/>
      <c r="SMN57" s="233"/>
      <c r="SMO57" s="233"/>
      <c r="SMP57" s="233"/>
      <c r="SMQ57" s="231"/>
      <c r="SMR57" s="231"/>
      <c r="SMS57" s="229"/>
      <c r="SMT57" s="230"/>
      <c r="SMU57" s="231"/>
      <c r="SMV57" s="232"/>
      <c r="SMW57" s="233"/>
      <c r="SMX57" s="233"/>
      <c r="SMY57" s="233"/>
      <c r="SMZ57" s="233"/>
      <c r="SNA57" s="233"/>
      <c r="SNB57" s="233"/>
      <c r="SNC57" s="231"/>
      <c r="SND57" s="231"/>
      <c r="SNE57" s="229"/>
      <c r="SNF57" s="230"/>
      <c r="SNG57" s="231"/>
      <c r="SNH57" s="232"/>
      <c r="SNI57" s="233"/>
      <c r="SNJ57" s="233"/>
      <c r="SNK57" s="233"/>
      <c r="SNL57" s="233"/>
      <c r="SNM57" s="233"/>
      <c r="SNN57" s="233"/>
      <c r="SNO57" s="231"/>
      <c r="SNP57" s="231"/>
      <c r="SNQ57" s="229"/>
      <c r="SNR57" s="230"/>
      <c r="SNS57" s="231"/>
      <c r="SNT57" s="232"/>
      <c r="SNU57" s="233"/>
      <c r="SNV57" s="233"/>
      <c r="SNW57" s="233"/>
      <c r="SNX57" s="233"/>
      <c r="SNY57" s="233"/>
      <c r="SNZ57" s="233"/>
      <c r="SOA57" s="231"/>
      <c r="SOB57" s="231"/>
      <c r="SOC57" s="229"/>
      <c r="SOD57" s="230"/>
      <c r="SOE57" s="231"/>
      <c r="SOF57" s="232"/>
      <c r="SOG57" s="233"/>
      <c r="SOH57" s="233"/>
      <c r="SOI57" s="233"/>
      <c r="SOJ57" s="233"/>
      <c r="SOK57" s="233"/>
      <c r="SOL57" s="233"/>
      <c r="SOM57" s="231"/>
      <c r="SON57" s="231"/>
      <c r="SOO57" s="229"/>
      <c r="SOP57" s="230"/>
      <c r="SOQ57" s="231"/>
      <c r="SOR57" s="232"/>
      <c r="SOS57" s="233"/>
      <c r="SOT57" s="233"/>
      <c r="SOU57" s="233"/>
      <c r="SOV57" s="233"/>
      <c r="SOW57" s="233"/>
      <c r="SOX57" s="233"/>
      <c r="SOY57" s="231"/>
      <c r="SOZ57" s="231"/>
      <c r="SPA57" s="229"/>
      <c r="SPB57" s="230"/>
      <c r="SPC57" s="231"/>
      <c r="SPD57" s="232"/>
      <c r="SPE57" s="233"/>
      <c r="SPF57" s="233"/>
      <c r="SPG57" s="233"/>
      <c r="SPH57" s="233"/>
      <c r="SPI57" s="233"/>
      <c r="SPJ57" s="233"/>
      <c r="SPK57" s="231"/>
      <c r="SPL57" s="231"/>
      <c r="SPM57" s="229"/>
      <c r="SPN57" s="230"/>
      <c r="SPO57" s="231"/>
      <c r="SPP57" s="232"/>
      <c r="SPQ57" s="233"/>
      <c r="SPR57" s="233"/>
      <c r="SPS57" s="233"/>
      <c r="SPT57" s="233"/>
      <c r="SPU57" s="233"/>
      <c r="SPV57" s="233"/>
      <c r="SPW57" s="231"/>
      <c r="SPX57" s="231"/>
      <c r="SPY57" s="229"/>
      <c r="SPZ57" s="230"/>
      <c r="SQA57" s="231"/>
      <c r="SQB57" s="232"/>
      <c r="SQC57" s="233"/>
      <c r="SQD57" s="233"/>
      <c r="SQE57" s="233"/>
      <c r="SQF57" s="233"/>
      <c r="SQG57" s="233"/>
      <c r="SQH57" s="233"/>
      <c r="SQI57" s="231"/>
      <c r="SQJ57" s="231"/>
      <c r="SQK57" s="229"/>
      <c r="SQL57" s="230"/>
      <c r="SQM57" s="231"/>
      <c r="SQN57" s="232"/>
      <c r="SQO57" s="233"/>
      <c r="SQP57" s="233"/>
      <c r="SQQ57" s="233"/>
      <c r="SQR57" s="233"/>
      <c r="SQS57" s="233"/>
      <c r="SQT57" s="233"/>
      <c r="SQU57" s="231"/>
      <c r="SQV57" s="231"/>
      <c r="SQW57" s="229"/>
      <c r="SQX57" s="230"/>
      <c r="SQY57" s="231"/>
      <c r="SQZ57" s="232"/>
      <c r="SRA57" s="233"/>
      <c r="SRB57" s="233"/>
      <c r="SRC57" s="233"/>
      <c r="SRD57" s="233"/>
      <c r="SRE57" s="233"/>
      <c r="SRF57" s="233"/>
      <c r="SRG57" s="231"/>
      <c r="SRH57" s="231"/>
      <c r="SRI57" s="229"/>
      <c r="SRJ57" s="230"/>
      <c r="SRK57" s="231"/>
      <c r="SRL57" s="232"/>
      <c r="SRM57" s="233"/>
      <c r="SRN57" s="233"/>
      <c r="SRO57" s="233"/>
      <c r="SRP57" s="233"/>
      <c r="SRQ57" s="233"/>
      <c r="SRR57" s="233"/>
      <c r="SRS57" s="231"/>
      <c r="SRT57" s="231"/>
      <c r="SRU57" s="229"/>
      <c r="SRV57" s="230"/>
      <c r="SRW57" s="231"/>
      <c r="SRX57" s="232"/>
      <c r="SRY57" s="233"/>
      <c r="SRZ57" s="233"/>
      <c r="SSA57" s="233"/>
      <c r="SSB57" s="233"/>
      <c r="SSC57" s="233"/>
      <c r="SSD57" s="233"/>
      <c r="SSE57" s="231"/>
      <c r="SSF57" s="231"/>
      <c r="SSG57" s="229"/>
      <c r="SSH57" s="230"/>
      <c r="SSI57" s="231"/>
      <c r="SSJ57" s="232"/>
      <c r="SSK57" s="233"/>
      <c r="SSL57" s="233"/>
      <c r="SSM57" s="233"/>
      <c r="SSN57" s="233"/>
      <c r="SSO57" s="233"/>
      <c r="SSP57" s="233"/>
      <c r="SSQ57" s="231"/>
      <c r="SSR57" s="231"/>
      <c r="SSS57" s="229"/>
      <c r="SST57" s="230"/>
      <c r="SSU57" s="231"/>
      <c r="SSV57" s="232"/>
      <c r="SSW57" s="233"/>
      <c r="SSX57" s="233"/>
      <c r="SSY57" s="233"/>
      <c r="SSZ57" s="233"/>
      <c r="STA57" s="233"/>
      <c r="STB57" s="233"/>
      <c r="STC57" s="231"/>
      <c r="STD57" s="231"/>
      <c r="STE57" s="229"/>
      <c r="STF57" s="230"/>
      <c r="STG57" s="231"/>
      <c r="STH57" s="232"/>
      <c r="STI57" s="233"/>
      <c r="STJ57" s="233"/>
      <c r="STK57" s="233"/>
      <c r="STL57" s="233"/>
      <c r="STM57" s="233"/>
      <c r="STN57" s="233"/>
      <c r="STO57" s="231"/>
      <c r="STP57" s="231"/>
      <c r="STQ57" s="229"/>
      <c r="STR57" s="230"/>
      <c r="STS57" s="231"/>
      <c r="STT57" s="232"/>
      <c r="STU57" s="233"/>
      <c r="STV57" s="233"/>
      <c r="STW57" s="233"/>
      <c r="STX57" s="233"/>
      <c r="STY57" s="233"/>
      <c r="STZ57" s="233"/>
      <c r="SUA57" s="231"/>
      <c r="SUB57" s="231"/>
      <c r="SUC57" s="229"/>
      <c r="SUD57" s="230"/>
      <c r="SUE57" s="231"/>
      <c r="SUF57" s="232"/>
      <c r="SUG57" s="233"/>
      <c r="SUH57" s="233"/>
      <c r="SUI57" s="233"/>
      <c r="SUJ57" s="233"/>
      <c r="SUK57" s="233"/>
      <c r="SUL57" s="233"/>
      <c r="SUM57" s="231"/>
      <c r="SUN57" s="231"/>
      <c r="SUO57" s="229"/>
      <c r="SUP57" s="230"/>
      <c r="SUQ57" s="231"/>
      <c r="SUR57" s="232"/>
      <c r="SUS57" s="233"/>
      <c r="SUT57" s="233"/>
      <c r="SUU57" s="233"/>
      <c r="SUV57" s="233"/>
      <c r="SUW57" s="233"/>
      <c r="SUX57" s="233"/>
      <c r="SUY57" s="231"/>
      <c r="SUZ57" s="231"/>
      <c r="SVA57" s="229"/>
      <c r="SVB57" s="230"/>
      <c r="SVC57" s="231"/>
      <c r="SVD57" s="232"/>
      <c r="SVE57" s="233"/>
      <c r="SVF57" s="233"/>
      <c r="SVG57" s="233"/>
      <c r="SVH57" s="233"/>
      <c r="SVI57" s="233"/>
      <c r="SVJ57" s="233"/>
      <c r="SVK57" s="231"/>
      <c r="SVL57" s="231"/>
      <c r="SVM57" s="229"/>
      <c r="SVN57" s="230"/>
      <c r="SVO57" s="231"/>
      <c r="SVP57" s="232"/>
      <c r="SVQ57" s="233"/>
      <c r="SVR57" s="233"/>
      <c r="SVS57" s="233"/>
      <c r="SVT57" s="233"/>
      <c r="SVU57" s="233"/>
      <c r="SVV57" s="233"/>
      <c r="SVW57" s="231"/>
      <c r="SVX57" s="231"/>
      <c r="SVY57" s="229"/>
      <c r="SVZ57" s="230"/>
      <c r="SWA57" s="231"/>
      <c r="SWB57" s="232"/>
      <c r="SWC57" s="233"/>
      <c r="SWD57" s="233"/>
      <c r="SWE57" s="233"/>
      <c r="SWF57" s="233"/>
      <c r="SWG57" s="233"/>
      <c r="SWH57" s="233"/>
      <c r="SWI57" s="231"/>
      <c r="SWJ57" s="231"/>
      <c r="SWK57" s="229"/>
      <c r="SWL57" s="230"/>
      <c r="SWM57" s="231"/>
      <c r="SWN57" s="232"/>
      <c r="SWO57" s="233"/>
      <c r="SWP57" s="233"/>
      <c r="SWQ57" s="233"/>
      <c r="SWR57" s="233"/>
      <c r="SWS57" s="233"/>
      <c r="SWT57" s="233"/>
      <c r="SWU57" s="231"/>
      <c r="SWV57" s="231"/>
      <c r="SWW57" s="229"/>
      <c r="SWX57" s="230"/>
      <c r="SWY57" s="231"/>
      <c r="SWZ57" s="232"/>
      <c r="SXA57" s="233"/>
      <c r="SXB57" s="233"/>
      <c r="SXC57" s="233"/>
      <c r="SXD57" s="233"/>
      <c r="SXE57" s="233"/>
      <c r="SXF57" s="233"/>
      <c r="SXG57" s="231"/>
      <c r="SXH57" s="231"/>
      <c r="SXI57" s="229"/>
      <c r="SXJ57" s="230"/>
      <c r="SXK57" s="231"/>
      <c r="SXL57" s="232"/>
      <c r="SXM57" s="233"/>
      <c r="SXN57" s="233"/>
      <c r="SXO57" s="233"/>
      <c r="SXP57" s="233"/>
      <c r="SXQ57" s="233"/>
      <c r="SXR57" s="233"/>
      <c r="SXS57" s="231"/>
      <c r="SXT57" s="231"/>
      <c r="SXU57" s="229"/>
      <c r="SXV57" s="230"/>
      <c r="SXW57" s="231"/>
      <c r="SXX57" s="232"/>
      <c r="SXY57" s="233"/>
      <c r="SXZ57" s="233"/>
      <c r="SYA57" s="233"/>
      <c r="SYB57" s="233"/>
      <c r="SYC57" s="233"/>
      <c r="SYD57" s="233"/>
      <c r="SYE57" s="231"/>
      <c r="SYF57" s="231"/>
      <c r="SYG57" s="229"/>
      <c r="SYH57" s="230"/>
      <c r="SYI57" s="231"/>
      <c r="SYJ57" s="232"/>
      <c r="SYK57" s="233"/>
      <c r="SYL57" s="233"/>
      <c r="SYM57" s="233"/>
      <c r="SYN57" s="233"/>
      <c r="SYO57" s="233"/>
      <c r="SYP57" s="233"/>
      <c r="SYQ57" s="231"/>
      <c r="SYR57" s="231"/>
      <c r="SYS57" s="229"/>
      <c r="SYT57" s="230"/>
      <c r="SYU57" s="231"/>
      <c r="SYV57" s="232"/>
      <c r="SYW57" s="233"/>
      <c r="SYX57" s="233"/>
      <c r="SYY57" s="233"/>
      <c r="SYZ57" s="233"/>
      <c r="SZA57" s="233"/>
      <c r="SZB57" s="233"/>
      <c r="SZC57" s="231"/>
      <c r="SZD57" s="231"/>
      <c r="SZE57" s="229"/>
      <c r="SZF57" s="230"/>
      <c r="SZG57" s="231"/>
      <c r="SZH57" s="232"/>
      <c r="SZI57" s="233"/>
      <c r="SZJ57" s="233"/>
      <c r="SZK57" s="233"/>
      <c r="SZL57" s="233"/>
      <c r="SZM57" s="233"/>
      <c r="SZN57" s="233"/>
      <c r="SZO57" s="231"/>
      <c r="SZP57" s="231"/>
      <c r="SZQ57" s="229"/>
      <c r="SZR57" s="230"/>
      <c r="SZS57" s="231"/>
      <c r="SZT57" s="232"/>
      <c r="SZU57" s="233"/>
      <c r="SZV57" s="233"/>
      <c r="SZW57" s="233"/>
      <c r="SZX57" s="233"/>
      <c r="SZY57" s="233"/>
      <c r="SZZ57" s="233"/>
      <c r="TAA57" s="231"/>
      <c r="TAB57" s="231"/>
      <c r="TAC57" s="229"/>
      <c r="TAD57" s="230"/>
      <c r="TAE57" s="231"/>
      <c r="TAF57" s="232"/>
      <c r="TAG57" s="233"/>
      <c r="TAH57" s="233"/>
      <c r="TAI57" s="233"/>
      <c r="TAJ57" s="233"/>
      <c r="TAK57" s="233"/>
      <c r="TAL57" s="233"/>
      <c r="TAM57" s="231"/>
      <c r="TAN57" s="231"/>
      <c r="TAO57" s="229"/>
      <c r="TAP57" s="230"/>
      <c r="TAQ57" s="231"/>
      <c r="TAR57" s="232"/>
      <c r="TAS57" s="233"/>
      <c r="TAT57" s="233"/>
      <c r="TAU57" s="233"/>
      <c r="TAV57" s="233"/>
      <c r="TAW57" s="233"/>
      <c r="TAX57" s="233"/>
      <c r="TAY57" s="231"/>
      <c r="TAZ57" s="231"/>
      <c r="TBA57" s="229"/>
      <c r="TBB57" s="230"/>
      <c r="TBC57" s="231"/>
      <c r="TBD57" s="232"/>
      <c r="TBE57" s="233"/>
      <c r="TBF57" s="233"/>
      <c r="TBG57" s="233"/>
      <c r="TBH57" s="233"/>
      <c r="TBI57" s="233"/>
      <c r="TBJ57" s="233"/>
      <c r="TBK57" s="231"/>
      <c r="TBL57" s="231"/>
      <c r="TBM57" s="229"/>
      <c r="TBN57" s="230"/>
      <c r="TBO57" s="231"/>
      <c r="TBP57" s="232"/>
      <c r="TBQ57" s="233"/>
      <c r="TBR57" s="233"/>
      <c r="TBS57" s="233"/>
      <c r="TBT57" s="233"/>
      <c r="TBU57" s="233"/>
      <c r="TBV57" s="233"/>
      <c r="TBW57" s="231"/>
      <c r="TBX57" s="231"/>
      <c r="TBY57" s="229"/>
      <c r="TBZ57" s="230"/>
      <c r="TCA57" s="231"/>
      <c r="TCB57" s="232"/>
      <c r="TCC57" s="233"/>
      <c r="TCD57" s="233"/>
      <c r="TCE57" s="233"/>
      <c r="TCF57" s="233"/>
      <c r="TCG57" s="233"/>
      <c r="TCH57" s="233"/>
      <c r="TCI57" s="231"/>
      <c r="TCJ57" s="231"/>
      <c r="TCK57" s="229"/>
      <c r="TCL57" s="230"/>
      <c r="TCM57" s="231"/>
      <c r="TCN57" s="232"/>
      <c r="TCO57" s="233"/>
      <c r="TCP57" s="233"/>
      <c r="TCQ57" s="233"/>
      <c r="TCR57" s="233"/>
      <c r="TCS57" s="233"/>
      <c r="TCT57" s="233"/>
      <c r="TCU57" s="231"/>
      <c r="TCV57" s="231"/>
      <c r="TCW57" s="229"/>
      <c r="TCX57" s="230"/>
      <c r="TCY57" s="231"/>
      <c r="TCZ57" s="232"/>
      <c r="TDA57" s="233"/>
      <c r="TDB57" s="233"/>
      <c r="TDC57" s="233"/>
      <c r="TDD57" s="233"/>
      <c r="TDE57" s="233"/>
      <c r="TDF57" s="233"/>
      <c r="TDG57" s="231"/>
      <c r="TDH57" s="231"/>
      <c r="TDI57" s="229"/>
      <c r="TDJ57" s="230"/>
      <c r="TDK57" s="231"/>
      <c r="TDL57" s="232"/>
      <c r="TDM57" s="233"/>
      <c r="TDN57" s="233"/>
      <c r="TDO57" s="233"/>
      <c r="TDP57" s="233"/>
      <c r="TDQ57" s="233"/>
      <c r="TDR57" s="233"/>
      <c r="TDS57" s="231"/>
      <c r="TDT57" s="231"/>
      <c r="TDU57" s="229"/>
      <c r="TDV57" s="230"/>
      <c r="TDW57" s="231"/>
      <c r="TDX57" s="232"/>
      <c r="TDY57" s="233"/>
      <c r="TDZ57" s="233"/>
      <c r="TEA57" s="233"/>
      <c r="TEB57" s="233"/>
      <c r="TEC57" s="233"/>
      <c r="TED57" s="233"/>
      <c r="TEE57" s="231"/>
      <c r="TEF57" s="231"/>
      <c r="TEG57" s="229"/>
      <c r="TEH57" s="230"/>
      <c r="TEI57" s="231"/>
      <c r="TEJ57" s="232"/>
      <c r="TEK57" s="233"/>
      <c r="TEL57" s="233"/>
      <c r="TEM57" s="233"/>
      <c r="TEN57" s="233"/>
      <c r="TEO57" s="233"/>
      <c r="TEP57" s="233"/>
      <c r="TEQ57" s="231"/>
      <c r="TER57" s="231"/>
      <c r="TES57" s="229"/>
      <c r="TET57" s="230"/>
      <c r="TEU57" s="231"/>
      <c r="TEV57" s="232"/>
      <c r="TEW57" s="233"/>
      <c r="TEX57" s="233"/>
      <c r="TEY57" s="233"/>
      <c r="TEZ57" s="233"/>
      <c r="TFA57" s="233"/>
      <c r="TFB57" s="233"/>
      <c r="TFC57" s="231"/>
      <c r="TFD57" s="231"/>
      <c r="TFE57" s="229"/>
      <c r="TFF57" s="230"/>
      <c r="TFG57" s="231"/>
      <c r="TFH57" s="232"/>
      <c r="TFI57" s="233"/>
      <c r="TFJ57" s="233"/>
      <c r="TFK57" s="233"/>
      <c r="TFL57" s="233"/>
      <c r="TFM57" s="233"/>
      <c r="TFN57" s="233"/>
      <c r="TFO57" s="231"/>
      <c r="TFP57" s="231"/>
      <c r="TFQ57" s="229"/>
      <c r="TFR57" s="230"/>
      <c r="TFS57" s="231"/>
      <c r="TFT57" s="232"/>
      <c r="TFU57" s="233"/>
      <c r="TFV57" s="233"/>
      <c r="TFW57" s="233"/>
      <c r="TFX57" s="233"/>
      <c r="TFY57" s="233"/>
      <c r="TFZ57" s="233"/>
      <c r="TGA57" s="231"/>
      <c r="TGB57" s="231"/>
      <c r="TGC57" s="229"/>
      <c r="TGD57" s="230"/>
      <c r="TGE57" s="231"/>
      <c r="TGF57" s="232"/>
      <c r="TGG57" s="233"/>
      <c r="TGH57" s="233"/>
      <c r="TGI57" s="233"/>
      <c r="TGJ57" s="233"/>
      <c r="TGK57" s="233"/>
      <c r="TGL57" s="233"/>
      <c r="TGM57" s="231"/>
      <c r="TGN57" s="231"/>
      <c r="TGO57" s="229"/>
      <c r="TGP57" s="230"/>
      <c r="TGQ57" s="231"/>
      <c r="TGR57" s="232"/>
      <c r="TGS57" s="233"/>
      <c r="TGT57" s="233"/>
      <c r="TGU57" s="233"/>
      <c r="TGV57" s="233"/>
      <c r="TGW57" s="233"/>
      <c r="TGX57" s="233"/>
      <c r="TGY57" s="231"/>
      <c r="TGZ57" s="231"/>
      <c r="THA57" s="229"/>
      <c r="THB57" s="230"/>
      <c r="THC57" s="231"/>
      <c r="THD57" s="232"/>
      <c r="THE57" s="233"/>
      <c r="THF57" s="233"/>
      <c r="THG57" s="233"/>
      <c r="THH57" s="233"/>
      <c r="THI57" s="233"/>
      <c r="THJ57" s="233"/>
      <c r="THK57" s="231"/>
      <c r="THL57" s="231"/>
      <c r="THM57" s="229"/>
      <c r="THN57" s="230"/>
      <c r="THO57" s="231"/>
      <c r="THP57" s="232"/>
      <c r="THQ57" s="233"/>
      <c r="THR57" s="233"/>
      <c r="THS57" s="233"/>
      <c r="THT57" s="233"/>
      <c r="THU57" s="233"/>
      <c r="THV57" s="233"/>
      <c r="THW57" s="231"/>
      <c r="THX57" s="231"/>
      <c r="THY57" s="229"/>
      <c r="THZ57" s="230"/>
      <c r="TIA57" s="231"/>
      <c r="TIB57" s="232"/>
      <c r="TIC57" s="233"/>
      <c r="TID57" s="233"/>
      <c r="TIE57" s="233"/>
      <c r="TIF57" s="233"/>
      <c r="TIG57" s="233"/>
      <c r="TIH57" s="233"/>
      <c r="TII57" s="231"/>
      <c r="TIJ57" s="231"/>
      <c r="TIK57" s="229"/>
      <c r="TIL57" s="230"/>
      <c r="TIM57" s="231"/>
      <c r="TIN57" s="232"/>
      <c r="TIO57" s="233"/>
      <c r="TIP57" s="233"/>
      <c r="TIQ57" s="233"/>
      <c r="TIR57" s="233"/>
      <c r="TIS57" s="233"/>
      <c r="TIT57" s="233"/>
      <c r="TIU57" s="231"/>
      <c r="TIV57" s="231"/>
      <c r="TIW57" s="229"/>
      <c r="TIX57" s="230"/>
      <c r="TIY57" s="231"/>
      <c r="TIZ57" s="232"/>
      <c r="TJA57" s="233"/>
      <c r="TJB57" s="233"/>
      <c r="TJC57" s="233"/>
      <c r="TJD57" s="233"/>
      <c r="TJE57" s="233"/>
      <c r="TJF57" s="233"/>
      <c r="TJG57" s="231"/>
      <c r="TJH57" s="231"/>
      <c r="TJI57" s="229"/>
      <c r="TJJ57" s="230"/>
      <c r="TJK57" s="231"/>
      <c r="TJL57" s="232"/>
      <c r="TJM57" s="233"/>
      <c r="TJN57" s="233"/>
      <c r="TJO57" s="233"/>
      <c r="TJP57" s="233"/>
      <c r="TJQ57" s="233"/>
      <c r="TJR57" s="233"/>
      <c r="TJS57" s="231"/>
      <c r="TJT57" s="231"/>
      <c r="TJU57" s="229"/>
      <c r="TJV57" s="230"/>
      <c r="TJW57" s="231"/>
      <c r="TJX57" s="232"/>
      <c r="TJY57" s="233"/>
      <c r="TJZ57" s="233"/>
      <c r="TKA57" s="233"/>
      <c r="TKB57" s="233"/>
      <c r="TKC57" s="233"/>
      <c r="TKD57" s="233"/>
      <c r="TKE57" s="231"/>
      <c r="TKF57" s="231"/>
      <c r="TKG57" s="229"/>
      <c r="TKH57" s="230"/>
      <c r="TKI57" s="231"/>
      <c r="TKJ57" s="232"/>
      <c r="TKK57" s="233"/>
      <c r="TKL57" s="233"/>
      <c r="TKM57" s="233"/>
      <c r="TKN57" s="233"/>
      <c r="TKO57" s="233"/>
      <c r="TKP57" s="233"/>
      <c r="TKQ57" s="231"/>
      <c r="TKR57" s="231"/>
      <c r="TKS57" s="229"/>
      <c r="TKT57" s="230"/>
      <c r="TKU57" s="231"/>
      <c r="TKV57" s="232"/>
      <c r="TKW57" s="233"/>
      <c r="TKX57" s="233"/>
      <c r="TKY57" s="233"/>
      <c r="TKZ57" s="233"/>
      <c r="TLA57" s="233"/>
      <c r="TLB57" s="233"/>
      <c r="TLC57" s="231"/>
      <c r="TLD57" s="231"/>
      <c r="TLE57" s="229"/>
      <c r="TLF57" s="230"/>
      <c r="TLG57" s="231"/>
      <c r="TLH57" s="232"/>
      <c r="TLI57" s="233"/>
      <c r="TLJ57" s="233"/>
      <c r="TLK57" s="233"/>
      <c r="TLL57" s="233"/>
      <c r="TLM57" s="233"/>
      <c r="TLN57" s="233"/>
      <c r="TLO57" s="231"/>
      <c r="TLP57" s="231"/>
      <c r="TLQ57" s="229"/>
      <c r="TLR57" s="230"/>
      <c r="TLS57" s="231"/>
      <c r="TLT57" s="232"/>
      <c r="TLU57" s="233"/>
      <c r="TLV57" s="233"/>
      <c r="TLW57" s="233"/>
      <c r="TLX57" s="233"/>
      <c r="TLY57" s="233"/>
      <c r="TLZ57" s="233"/>
      <c r="TMA57" s="231"/>
      <c r="TMB57" s="231"/>
      <c r="TMC57" s="229"/>
      <c r="TMD57" s="230"/>
      <c r="TME57" s="231"/>
      <c r="TMF57" s="232"/>
      <c r="TMG57" s="233"/>
      <c r="TMH57" s="233"/>
      <c r="TMI57" s="233"/>
      <c r="TMJ57" s="233"/>
      <c r="TMK57" s="233"/>
      <c r="TML57" s="233"/>
      <c r="TMM57" s="231"/>
      <c r="TMN57" s="231"/>
      <c r="TMO57" s="229"/>
      <c r="TMP57" s="230"/>
      <c r="TMQ57" s="231"/>
      <c r="TMR57" s="232"/>
      <c r="TMS57" s="233"/>
      <c r="TMT57" s="233"/>
      <c r="TMU57" s="233"/>
      <c r="TMV57" s="233"/>
      <c r="TMW57" s="233"/>
      <c r="TMX57" s="233"/>
      <c r="TMY57" s="231"/>
      <c r="TMZ57" s="231"/>
      <c r="TNA57" s="229"/>
      <c r="TNB57" s="230"/>
      <c r="TNC57" s="231"/>
      <c r="TND57" s="232"/>
      <c r="TNE57" s="233"/>
      <c r="TNF57" s="233"/>
      <c r="TNG57" s="233"/>
      <c r="TNH57" s="233"/>
      <c r="TNI57" s="233"/>
      <c r="TNJ57" s="233"/>
      <c r="TNK57" s="231"/>
      <c r="TNL57" s="231"/>
      <c r="TNM57" s="229"/>
      <c r="TNN57" s="230"/>
      <c r="TNO57" s="231"/>
      <c r="TNP57" s="232"/>
      <c r="TNQ57" s="233"/>
      <c r="TNR57" s="233"/>
      <c r="TNS57" s="233"/>
      <c r="TNT57" s="233"/>
      <c r="TNU57" s="233"/>
      <c r="TNV57" s="233"/>
      <c r="TNW57" s="231"/>
      <c r="TNX57" s="231"/>
      <c r="TNY57" s="229"/>
      <c r="TNZ57" s="230"/>
      <c r="TOA57" s="231"/>
      <c r="TOB57" s="232"/>
      <c r="TOC57" s="233"/>
      <c r="TOD57" s="233"/>
      <c r="TOE57" s="233"/>
      <c r="TOF57" s="233"/>
      <c r="TOG57" s="233"/>
      <c r="TOH57" s="233"/>
      <c r="TOI57" s="231"/>
      <c r="TOJ57" s="231"/>
      <c r="TOK57" s="229"/>
      <c r="TOL57" s="230"/>
      <c r="TOM57" s="231"/>
      <c r="TON57" s="232"/>
      <c r="TOO57" s="233"/>
      <c r="TOP57" s="233"/>
      <c r="TOQ57" s="233"/>
      <c r="TOR57" s="233"/>
      <c r="TOS57" s="233"/>
      <c r="TOT57" s="233"/>
      <c r="TOU57" s="231"/>
      <c r="TOV57" s="231"/>
      <c r="TOW57" s="229"/>
      <c r="TOX57" s="230"/>
      <c r="TOY57" s="231"/>
      <c r="TOZ57" s="232"/>
      <c r="TPA57" s="233"/>
      <c r="TPB57" s="233"/>
      <c r="TPC57" s="233"/>
      <c r="TPD57" s="233"/>
      <c r="TPE57" s="233"/>
      <c r="TPF57" s="233"/>
      <c r="TPG57" s="231"/>
      <c r="TPH57" s="231"/>
      <c r="TPI57" s="229"/>
      <c r="TPJ57" s="230"/>
      <c r="TPK57" s="231"/>
      <c r="TPL57" s="232"/>
      <c r="TPM57" s="233"/>
      <c r="TPN57" s="233"/>
      <c r="TPO57" s="233"/>
      <c r="TPP57" s="233"/>
      <c r="TPQ57" s="233"/>
      <c r="TPR57" s="233"/>
      <c r="TPS57" s="231"/>
      <c r="TPT57" s="231"/>
      <c r="TPU57" s="229"/>
      <c r="TPV57" s="230"/>
      <c r="TPW57" s="231"/>
      <c r="TPX57" s="232"/>
      <c r="TPY57" s="233"/>
      <c r="TPZ57" s="233"/>
      <c r="TQA57" s="233"/>
      <c r="TQB57" s="233"/>
      <c r="TQC57" s="233"/>
      <c r="TQD57" s="233"/>
      <c r="TQE57" s="231"/>
      <c r="TQF57" s="231"/>
      <c r="TQG57" s="229"/>
      <c r="TQH57" s="230"/>
      <c r="TQI57" s="231"/>
      <c r="TQJ57" s="232"/>
      <c r="TQK57" s="233"/>
      <c r="TQL57" s="233"/>
      <c r="TQM57" s="233"/>
      <c r="TQN57" s="233"/>
      <c r="TQO57" s="233"/>
      <c r="TQP57" s="233"/>
      <c r="TQQ57" s="231"/>
      <c r="TQR57" s="231"/>
      <c r="TQS57" s="229"/>
      <c r="TQT57" s="230"/>
      <c r="TQU57" s="231"/>
      <c r="TQV57" s="232"/>
      <c r="TQW57" s="233"/>
      <c r="TQX57" s="233"/>
      <c r="TQY57" s="233"/>
      <c r="TQZ57" s="233"/>
      <c r="TRA57" s="233"/>
      <c r="TRB57" s="233"/>
      <c r="TRC57" s="231"/>
      <c r="TRD57" s="231"/>
      <c r="TRE57" s="229"/>
      <c r="TRF57" s="230"/>
      <c r="TRG57" s="231"/>
      <c r="TRH57" s="232"/>
      <c r="TRI57" s="233"/>
      <c r="TRJ57" s="233"/>
      <c r="TRK57" s="233"/>
      <c r="TRL57" s="233"/>
      <c r="TRM57" s="233"/>
      <c r="TRN57" s="233"/>
      <c r="TRO57" s="231"/>
      <c r="TRP57" s="231"/>
      <c r="TRQ57" s="229"/>
      <c r="TRR57" s="230"/>
      <c r="TRS57" s="231"/>
      <c r="TRT57" s="232"/>
      <c r="TRU57" s="233"/>
      <c r="TRV57" s="233"/>
      <c r="TRW57" s="233"/>
      <c r="TRX57" s="233"/>
      <c r="TRY57" s="233"/>
      <c r="TRZ57" s="233"/>
      <c r="TSA57" s="231"/>
      <c r="TSB57" s="231"/>
      <c r="TSC57" s="229"/>
      <c r="TSD57" s="230"/>
      <c r="TSE57" s="231"/>
      <c r="TSF57" s="232"/>
      <c r="TSG57" s="233"/>
      <c r="TSH57" s="233"/>
      <c r="TSI57" s="233"/>
      <c r="TSJ57" s="233"/>
      <c r="TSK57" s="233"/>
      <c r="TSL57" s="233"/>
      <c r="TSM57" s="231"/>
      <c r="TSN57" s="231"/>
      <c r="TSO57" s="229"/>
      <c r="TSP57" s="230"/>
      <c r="TSQ57" s="231"/>
      <c r="TSR57" s="232"/>
      <c r="TSS57" s="233"/>
      <c r="TST57" s="233"/>
      <c r="TSU57" s="233"/>
      <c r="TSV57" s="233"/>
      <c r="TSW57" s="233"/>
      <c r="TSX57" s="233"/>
      <c r="TSY57" s="231"/>
      <c r="TSZ57" s="231"/>
      <c r="TTA57" s="229"/>
      <c r="TTB57" s="230"/>
      <c r="TTC57" s="231"/>
      <c r="TTD57" s="232"/>
      <c r="TTE57" s="233"/>
      <c r="TTF57" s="233"/>
      <c r="TTG57" s="233"/>
      <c r="TTH57" s="233"/>
      <c r="TTI57" s="233"/>
      <c r="TTJ57" s="233"/>
      <c r="TTK57" s="231"/>
      <c r="TTL57" s="231"/>
      <c r="TTM57" s="229"/>
      <c r="TTN57" s="230"/>
      <c r="TTO57" s="231"/>
      <c r="TTP57" s="232"/>
      <c r="TTQ57" s="233"/>
      <c r="TTR57" s="233"/>
      <c r="TTS57" s="233"/>
      <c r="TTT57" s="233"/>
      <c r="TTU57" s="233"/>
      <c r="TTV57" s="233"/>
      <c r="TTW57" s="231"/>
      <c r="TTX57" s="231"/>
      <c r="TTY57" s="229"/>
      <c r="TTZ57" s="230"/>
      <c r="TUA57" s="231"/>
      <c r="TUB57" s="232"/>
      <c r="TUC57" s="233"/>
      <c r="TUD57" s="233"/>
      <c r="TUE57" s="233"/>
      <c r="TUF57" s="233"/>
      <c r="TUG57" s="233"/>
      <c r="TUH57" s="233"/>
      <c r="TUI57" s="231"/>
      <c r="TUJ57" s="231"/>
      <c r="TUK57" s="229"/>
      <c r="TUL57" s="230"/>
      <c r="TUM57" s="231"/>
      <c r="TUN57" s="232"/>
      <c r="TUO57" s="233"/>
      <c r="TUP57" s="233"/>
      <c r="TUQ57" s="233"/>
      <c r="TUR57" s="233"/>
      <c r="TUS57" s="233"/>
      <c r="TUT57" s="233"/>
      <c r="TUU57" s="231"/>
      <c r="TUV57" s="231"/>
      <c r="TUW57" s="229"/>
      <c r="TUX57" s="230"/>
      <c r="TUY57" s="231"/>
      <c r="TUZ57" s="232"/>
      <c r="TVA57" s="233"/>
      <c r="TVB57" s="233"/>
      <c r="TVC57" s="233"/>
      <c r="TVD57" s="233"/>
      <c r="TVE57" s="233"/>
      <c r="TVF57" s="233"/>
      <c r="TVG57" s="231"/>
      <c r="TVH57" s="231"/>
      <c r="TVI57" s="229"/>
      <c r="TVJ57" s="230"/>
      <c r="TVK57" s="231"/>
      <c r="TVL57" s="232"/>
      <c r="TVM57" s="233"/>
      <c r="TVN57" s="233"/>
      <c r="TVO57" s="233"/>
      <c r="TVP57" s="233"/>
      <c r="TVQ57" s="233"/>
      <c r="TVR57" s="233"/>
      <c r="TVS57" s="231"/>
      <c r="TVT57" s="231"/>
      <c r="TVU57" s="229"/>
      <c r="TVV57" s="230"/>
      <c r="TVW57" s="231"/>
      <c r="TVX57" s="232"/>
      <c r="TVY57" s="233"/>
      <c r="TVZ57" s="233"/>
      <c r="TWA57" s="233"/>
      <c r="TWB57" s="233"/>
      <c r="TWC57" s="233"/>
      <c r="TWD57" s="233"/>
      <c r="TWE57" s="231"/>
      <c r="TWF57" s="231"/>
      <c r="TWG57" s="229"/>
      <c r="TWH57" s="230"/>
      <c r="TWI57" s="231"/>
      <c r="TWJ57" s="232"/>
      <c r="TWK57" s="233"/>
      <c r="TWL57" s="233"/>
      <c r="TWM57" s="233"/>
      <c r="TWN57" s="233"/>
      <c r="TWO57" s="233"/>
      <c r="TWP57" s="233"/>
      <c r="TWQ57" s="231"/>
      <c r="TWR57" s="231"/>
      <c r="TWS57" s="229"/>
      <c r="TWT57" s="230"/>
      <c r="TWU57" s="231"/>
      <c r="TWV57" s="232"/>
      <c r="TWW57" s="233"/>
      <c r="TWX57" s="233"/>
      <c r="TWY57" s="233"/>
      <c r="TWZ57" s="233"/>
      <c r="TXA57" s="233"/>
      <c r="TXB57" s="233"/>
      <c r="TXC57" s="231"/>
      <c r="TXD57" s="231"/>
      <c r="TXE57" s="229"/>
      <c r="TXF57" s="230"/>
      <c r="TXG57" s="231"/>
      <c r="TXH57" s="232"/>
      <c r="TXI57" s="233"/>
      <c r="TXJ57" s="233"/>
      <c r="TXK57" s="233"/>
      <c r="TXL57" s="233"/>
      <c r="TXM57" s="233"/>
      <c r="TXN57" s="233"/>
      <c r="TXO57" s="231"/>
      <c r="TXP57" s="231"/>
      <c r="TXQ57" s="229"/>
      <c r="TXR57" s="230"/>
      <c r="TXS57" s="231"/>
      <c r="TXT57" s="232"/>
      <c r="TXU57" s="233"/>
      <c r="TXV57" s="233"/>
      <c r="TXW57" s="233"/>
      <c r="TXX57" s="233"/>
      <c r="TXY57" s="233"/>
      <c r="TXZ57" s="233"/>
      <c r="TYA57" s="231"/>
      <c r="TYB57" s="231"/>
      <c r="TYC57" s="229"/>
      <c r="TYD57" s="230"/>
      <c r="TYE57" s="231"/>
      <c r="TYF57" s="232"/>
      <c r="TYG57" s="233"/>
      <c r="TYH57" s="233"/>
      <c r="TYI57" s="233"/>
      <c r="TYJ57" s="233"/>
      <c r="TYK57" s="233"/>
      <c r="TYL57" s="233"/>
      <c r="TYM57" s="231"/>
      <c r="TYN57" s="231"/>
      <c r="TYO57" s="229"/>
      <c r="TYP57" s="230"/>
      <c r="TYQ57" s="231"/>
      <c r="TYR57" s="232"/>
      <c r="TYS57" s="233"/>
      <c r="TYT57" s="233"/>
      <c r="TYU57" s="233"/>
      <c r="TYV57" s="233"/>
      <c r="TYW57" s="233"/>
      <c r="TYX57" s="233"/>
      <c r="TYY57" s="231"/>
      <c r="TYZ57" s="231"/>
      <c r="TZA57" s="229"/>
      <c r="TZB57" s="230"/>
      <c r="TZC57" s="231"/>
      <c r="TZD57" s="232"/>
      <c r="TZE57" s="233"/>
      <c r="TZF57" s="233"/>
      <c r="TZG57" s="233"/>
      <c r="TZH57" s="233"/>
      <c r="TZI57" s="233"/>
      <c r="TZJ57" s="233"/>
      <c r="TZK57" s="231"/>
      <c r="TZL57" s="231"/>
      <c r="TZM57" s="229"/>
      <c r="TZN57" s="230"/>
      <c r="TZO57" s="231"/>
      <c r="TZP57" s="232"/>
      <c r="TZQ57" s="233"/>
      <c r="TZR57" s="233"/>
      <c r="TZS57" s="233"/>
      <c r="TZT57" s="233"/>
      <c r="TZU57" s="233"/>
      <c r="TZV57" s="233"/>
      <c r="TZW57" s="231"/>
      <c r="TZX57" s="231"/>
      <c r="TZY57" s="229"/>
      <c r="TZZ57" s="230"/>
      <c r="UAA57" s="231"/>
      <c r="UAB57" s="232"/>
      <c r="UAC57" s="233"/>
      <c r="UAD57" s="233"/>
      <c r="UAE57" s="233"/>
      <c r="UAF57" s="233"/>
      <c r="UAG57" s="233"/>
      <c r="UAH57" s="233"/>
      <c r="UAI57" s="231"/>
      <c r="UAJ57" s="231"/>
      <c r="UAK57" s="229"/>
      <c r="UAL57" s="230"/>
      <c r="UAM57" s="231"/>
      <c r="UAN57" s="232"/>
      <c r="UAO57" s="233"/>
      <c r="UAP57" s="233"/>
      <c r="UAQ57" s="233"/>
      <c r="UAR57" s="233"/>
      <c r="UAS57" s="233"/>
      <c r="UAT57" s="233"/>
      <c r="UAU57" s="231"/>
      <c r="UAV57" s="231"/>
      <c r="UAW57" s="229"/>
      <c r="UAX57" s="230"/>
      <c r="UAY57" s="231"/>
      <c r="UAZ57" s="232"/>
      <c r="UBA57" s="233"/>
      <c r="UBB57" s="233"/>
      <c r="UBC57" s="233"/>
      <c r="UBD57" s="233"/>
      <c r="UBE57" s="233"/>
      <c r="UBF57" s="233"/>
      <c r="UBG57" s="231"/>
      <c r="UBH57" s="231"/>
      <c r="UBI57" s="229"/>
      <c r="UBJ57" s="230"/>
      <c r="UBK57" s="231"/>
      <c r="UBL57" s="232"/>
      <c r="UBM57" s="233"/>
      <c r="UBN57" s="233"/>
      <c r="UBO57" s="233"/>
      <c r="UBP57" s="233"/>
      <c r="UBQ57" s="233"/>
      <c r="UBR57" s="233"/>
      <c r="UBS57" s="231"/>
      <c r="UBT57" s="231"/>
      <c r="UBU57" s="229"/>
      <c r="UBV57" s="230"/>
      <c r="UBW57" s="231"/>
      <c r="UBX57" s="232"/>
      <c r="UBY57" s="233"/>
      <c r="UBZ57" s="233"/>
      <c r="UCA57" s="233"/>
      <c r="UCB57" s="233"/>
      <c r="UCC57" s="233"/>
      <c r="UCD57" s="233"/>
      <c r="UCE57" s="231"/>
      <c r="UCF57" s="231"/>
      <c r="UCG57" s="229"/>
      <c r="UCH57" s="230"/>
      <c r="UCI57" s="231"/>
      <c r="UCJ57" s="232"/>
      <c r="UCK57" s="233"/>
      <c r="UCL57" s="233"/>
      <c r="UCM57" s="233"/>
      <c r="UCN57" s="233"/>
      <c r="UCO57" s="233"/>
      <c r="UCP57" s="233"/>
      <c r="UCQ57" s="231"/>
      <c r="UCR57" s="231"/>
      <c r="UCS57" s="229"/>
      <c r="UCT57" s="230"/>
      <c r="UCU57" s="231"/>
      <c r="UCV57" s="232"/>
      <c r="UCW57" s="233"/>
      <c r="UCX57" s="233"/>
      <c r="UCY57" s="233"/>
      <c r="UCZ57" s="233"/>
      <c r="UDA57" s="233"/>
      <c r="UDB57" s="233"/>
      <c r="UDC57" s="231"/>
      <c r="UDD57" s="231"/>
      <c r="UDE57" s="229"/>
      <c r="UDF57" s="230"/>
      <c r="UDG57" s="231"/>
      <c r="UDH57" s="232"/>
      <c r="UDI57" s="233"/>
      <c r="UDJ57" s="233"/>
      <c r="UDK57" s="233"/>
      <c r="UDL57" s="233"/>
      <c r="UDM57" s="233"/>
      <c r="UDN57" s="233"/>
      <c r="UDO57" s="231"/>
      <c r="UDP57" s="231"/>
      <c r="UDQ57" s="229"/>
      <c r="UDR57" s="230"/>
      <c r="UDS57" s="231"/>
      <c r="UDT57" s="232"/>
      <c r="UDU57" s="233"/>
      <c r="UDV57" s="233"/>
      <c r="UDW57" s="233"/>
      <c r="UDX57" s="233"/>
      <c r="UDY57" s="233"/>
      <c r="UDZ57" s="233"/>
      <c r="UEA57" s="231"/>
      <c r="UEB57" s="231"/>
      <c r="UEC57" s="229"/>
      <c r="UED57" s="230"/>
      <c r="UEE57" s="231"/>
      <c r="UEF57" s="232"/>
      <c r="UEG57" s="233"/>
      <c r="UEH57" s="233"/>
      <c r="UEI57" s="233"/>
      <c r="UEJ57" s="233"/>
      <c r="UEK57" s="233"/>
      <c r="UEL57" s="233"/>
      <c r="UEM57" s="231"/>
      <c r="UEN57" s="231"/>
      <c r="UEO57" s="229"/>
      <c r="UEP57" s="230"/>
      <c r="UEQ57" s="231"/>
      <c r="UER57" s="232"/>
      <c r="UES57" s="233"/>
      <c r="UET57" s="233"/>
      <c r="UEU57" s="233"/>
      <c r="UEV57" s="233"/>
      <c r="UEW57" s="233"/>
      <c r="UEX57" s="233"/>
      <c r="UEY57" s="231"/>
      <c r="UEZ57" s="231"/>
      <c r="UFA57" s="229"/>
      <c r="UFB57" s="230"/>
      <c r="UFC57" s="231"/>
      <c r="UFD57" s="232"/>
      <c r="UFE57" s="233"/>
      <c r="UFF57" s="233"/>
      <c r="UFG57" s="233"/>
      <c r="UFH57" s="233"/>
      <c r="UFI57" s="233"/>
      <c r="UFJ57" s="233"/>
      <c r="UFK57" s="231"/>
      <c r="UFL57" s="231"/>
      <c r="UFM57" s="229"/>
      <c r="UFN57" s="230"/>
      <c r="UFO57" s="231"/>
      <c r="UFP57" s="232"/>
      <c r="UFQ57" s="233"/>
      <c r="UFR57" s="233"/>
      <c r="UFS57" s="233"/>
      <c r="UFT57" s="233"/>
      <c r="UFU57" s="233"/>
      <c r="UFV57" s="233"/>
      <c r="UFW57" s="231"/>
      <c r="UFX57" s="231"/>
      <c r="UFY57" s="229"/>
      <c r="UFZ57" s="230"/>
      <c r="UGA57" s="231"/>
      <c r="UGB57" s="232"/>
      <c r="UGC57" s="233"/>
      <c r="UGD57" s="233"/>
      <c r="UGE57" s="233"/>
      <c r="UGF57" s="233"/>
      <c r="UGG57" s="233"/>
      <c r="UGH57" s="233"/>
      <c r="UGI57" s="231"/>
      <c r="UGJ57" s="231"/>
      <c r="UGK57" s="229"/>
      <c r="UGL57" s="230"/>
      <c r="UGM57" s="231"/>
      <c r="UGN57" s="232"/>
      <c r="UGO57" s="233"/>
      <c r="UGP57" s="233"/>
      <c r="UGQ57" s="233"/>
      <c r="UGR57" s="233"/>
      <c r="UGS57" s="233"/>
      <c r="UGT57" s="233"/>
      <c r="UGU57" s="231"/>
      <c r="UGV57" s="231"/>
      <c r="UGW57" s="229"/>
      <c r="UGX57" s="230"/>
      <c r="UGY57" s="231"/>
      <c r="UGZ57" s="232"/>
      <c r="UHA57" s="233"/>
      <c r="UHB57" s="233"/>
      <c r="UHC57" s="233"/>
      <c r="UHD57" s="233"/>
      <c r="UHE57" s="233"/>
      <c r="UHF57" s="233"/>
      <c r="UHG57" s="231"/>
      <c r="UHH57" s="231"/>
      <c r="UHI57" s="229"/>
      <c r="UHJ57" s="230"/>
      <c r="UHK57" s="231"/>
      <c r="UHL57" s="232"/>
      <c r="UHM57" s="233"/>
      <c r="UHN57" s="233"/>
      <c r="UHO57" s="233"/>
      <c r="UHP57" s="233"/>
      <c r="UHQ57" s="233"/>
      <c r="UHR57" s="233"/>
      <c r="UHS57" s="231"/>
      <c r="UHT57" s="231"/>
      <c r="UHU57" s="229"/>
      <c r="UHV57" s="230"/>
      <c r="UHW57" s="231"/>
      <c r="UHX57" s="232"/>
      <c r="UHY57" s="233"/>
      <c r="UHZ57" s="233"/>
      <c r="UIA57" s="233"/>
      <c r="UIB57" s="233"/>
      <c r="UIC57" s="233"/>
      <c r="UID57" s="233"/>
      <c r="UIE57" s="231"/>
      <c r="UIF57" s="231"/>
      <c r="UIG57" s="229"/>
      <c r="UIH57" s="230"/>
      <c r="UII57" s="231"/>
      <c r="UIJ57" s="232"/>
      <c r="UIK57" s="233"/>
      <c r="UIL57" s="233"/>
      <c r="UIM57" s="233"/>
      <c r="UIN57" s="233"/>
      <c r="UIO57" s="233"/>
      <c r="UIP57" s="233"/>
      <c r="UIQ57" s="231"/>
      <c r="UIR57" s="231"/>
      <c r="UIS57" s="229"/>
      <c r="UIT57" s="230"/>
      <c r="UIU57" s="231"/>
      <c r="UIV57" s="232"/>
      <c r="UIW57" s="233"/>
      <c r="UIX57" s="233"/>
      <c r="UIY57" s="233"/>
      <c r="UIZ57" s="233"/>
      <c r="UJA57" s="233"/>
      <c r="UJB57" s="233"/>
      <c r="UJC57" s="231"/>
      <c r="UJD57" s="231"/>
      <c r="UJE57" s="229"/>
      <c r="UJF57" s="230"/>
      <c r="UJG57" s="231"/>
      <c r="UJH57" s="232"/>
      <c r="UJI57" s="233"/>
      <c r="UJJ57" s="233"/>
      <c r="UJK57" s="233"/>
      <c r="UJL57" s="233"/>
      <c r="UJM57" s="233"/>
      <c r="UJN57" s="233"/>
      <c r="UJO57" s="231"/>
      <c r="UJP57" s="231"/>
      <c r="UJQ57" s="229"/>
      <c r="UJR57" s="230"/>
      <c r="UJS57" s="231"/>
      <c r="UJT57" s="232"/>
      <c r="UJU57" s="233"/>
      <c r="UJV57" s="233"/>
      <c r="UJW57" s="233"/>
      <c r="UJX57" s="233"/>
      <c r="UJY57" s="233"/>
      <c r="UJZ57" s="233"/>
      <c r="UKA57" s="231"/>
      <c r="UKB57" s="231"/>
      <c r="UKC57" s="229"/>
      <c r="UKD57" s="230"/>
      <c r="UKE57" s="231"/>
      <c r="UKF57" s="232"/>
      <c r="UKG57" s="233"/>
      <c r="UKH57" s="233"/>
      <c r="UKI57" s="233"/>
      <c r="UKJ57" s="233"/>
      <c r="UKK57" s="233"/>
      <c r="UKL57" s="233"/>
      <c r="UKM57" s="231"/>
      <c r="UKN57" s="231"/>
      <c r="UKO57" s="229"/>
      <c r="UKP57" s="230"/>
      <c r="UKQ57" s="231"/>
      <c r="UKR57" s="232"/>
      <c r="UKS57" s="233"/>
      <c r="UKT57" s="233"/>
      <c r="UKU57" s="233"/>
      <c r="UKV57" s="233"/>
      <c r="UKW57" s="233"/>
      <c r="UKX57" s="233"/>
      <c r="UKY57" s="231"/>
      <c r="UKZ57" s="231"/>
      <c r="ULA57" s="229"/>
      <c r="ULB57" s="230"/>
      <c r="ULC57" s="231"/>
      <c r="ULD57" s="232"/>
      <c r="ULE57" s="233"/>
      <c r="ULF57" s="233"/>
      <c r="ULG57" s="233"/>
      <c r="ULH57" s="233"/>
      <c r="ULI57" s="233"/>
      <c r="ULJ57" s="233"/>
      <c r="ULK57" s="231"/>
      <c r="ULL57" s="231"/>
      <c r="ULM57" s="229"/>
      <c r="ULN57" s="230"/>
      <c r="ULO57" s="231"/>
      <c r="ULP57" s="232"/>
      <c r="ULQ57" s="233"/>
      <c r="ULR57" s="233"/>
      <c r="ULS57" s="233"/>
      <c r="ULT57" s="233"/>
      <c r="ULU57" s="233"/>
      <c r="ULV57" s="233"/>
      <c r="ULW57" s="231"/>
      <c r="ULX57" s="231"/>
      <c r="ULY57" s="229"/>
      <c r="ULZ57" s="230"/>
      <c r="UMA57" s="231"/>
      <c r="UMB57" s="232"/>
      <c r="UMC57" s="233"/>
      <c r="UMD57" s="233"/>
      <c r="UME57" s="233"/>
      <c r="UMF57" s="233"/>
      <c r="UMG57" s="233"/>
      <c r="UMH57" s="233"/>
      <c r="UMI57" s="231"/>
      <c r="UMJ57" s="231"/>
      <c r="UMK57" s="229"/>
      <c r="UML57" s="230"/>
      <c r="UMM57" s="231"/>
      <c r="UMN57" s="232"/>
      <c r="UMO57" s="233"/>
      <c r="UMP57" s="233"/>
      <c r="UMQ57" s="233"/>
      <c r="UMR57" s="233"/>
      <c r="UMS57" s="233"/>
      <c r="UMT57" s="233"/>
      <c r="UMU57" s="231"/>
      <c r="UMV57" s="231"/>
      <c r="UMW57" s="229"/>
      <c r="UMX57" s="230"/>
      <c r="UMY57" s="231"/>
      <c r="UMZ57" s="232"/>
      <c r="UNA57" s="233"/>
      <c r="UNB57" s="233"/>
      <c r="UNC57" s="233"/>
      <c r="UND57" s="233"/>
      <c r="UNE57" s="233"/>
      <c r="UNF57" s="233"/>
      <c r="UNG57" s="231"/>
      <c r="UNH57" s="231"/>
      <c r="UNI57" s="229"/>
      <c r="UNJ57" s="230"/>
      <c r="UNK57" s="231"/>
      <c r="UNL57" s="232"/>
      <c r="UNM57" s="233"/>
      <c r="UNN57" s="233"/>
      <c r="UNO57" s="233"/>
      <c r="UNP57" s="233"/>
      <c r="UNQ57" s="233"/>
      <c r="UNR57" s="233"/>
      <c r="UNS57" s="231"/>
      <c r="UNT57" s="231"/>
      <c r="UNU57" s="229"/>
      <c r="UNV57" s="230"/>
      <c r="UNW57" s="231"/>
      <c r="UNX57" s="232"/>
      <c r="UNY57" s="233"/>
      <c r="UNZ57" s="233"/>
      <c r="UOA57" s="233"/>
      <c r="UOB57" s="233"/>
      <c r="UOC57" s="233"/>
      <c r="UOD57" s="233"/>
      <c r="UOE57" s="231"/>
      <c r="UOF57" s="231"/>
      <c r="UOG57" s="229"/>
      <c r="UOH57" s="230"/>
      <c r="UOI57" s="231"/>
      <c r="UOJ57" s="232"/>
      <c r="UOK57" s="233"/>
      <c r="UOL57" s="233"/>
      <c r="UOM57" s="233"/>
      <c r="UON57" s="233"/>
      <c r="UOO57" s="233"/>
      <c r="UOP57" s="233"/>
      <c r="UOQ57" s="231"/>
      <c r="UOR57" s="231"/>
      <c r="UOS57" s="229"/>
      <c r="UOT57" s="230"/>
      <c r="UOU57" s="231"/>
      <c r="UOV57" s="232"/>
      <c r="UOW57" s="233"/>
      <c r="UOX57" s="233"/>
      <c r="UOY57" s="233"/>
      <c r="UOZ57" s="233"/>
      <c r="UPA57" s="233"/>
      <c r="UPB57" s="233"/>
      <c r="UPC57" s="231"/>
      <c r="UPD57" s="231"/>
      <c r="UPE57" s="229"/>
      <c r="UPF57" s="230"/>
      <c r="UPG57" s="231"/>
      <c r="UPH57" s="232"/>
      <c r="UPI57" s="233"/>
      <c r="UPJ57" s="233"/>
      <c r="UPK57" s="233"/>
      <c r="UPL57" s="233"/>
      <c r="UPM57" s="233"/>
      <c r="UPN57" s="233"/>
      <c r="UPO57" s="231"/>
      <c r="UPP57" s="231"/>
      <c r="UPQ57" s="229"/>
      <c r="UPR57" s="230"/>
      <c r="UPS57" s="231"/>
      <c r="UPT57" s="232"/>
      <c r="UPU57" s="233"/>
      <c r="UPV57" s="233"/>
      <c r="UPW57" s="233"/>
      <c r="UPX57" s="233"/>
      <c r="UPY57" s="233"/>
      <c r="UPZ57" s="233"/>
      <c r="UQA57" s="231"/>
      <c r="UQB57" s="231"/>
      <c r="UQC57" s="229"/>
      <c r="UQD57" s="230"/>
      <c r="UQE57" s="231"/>
      <c r="UQF57" s="232"/>
      <c r="UQG57" s="233"/>
      <c r="UQH57" s="233"/>
      <c r="UQI57" s="233"/>
      <c r="UQJ57" s="233"/>
      <c r="UQK57" s="233"/>
      <c r="UQL57" s="233"/>
      <c r="UQM57" s="231"/>
      <c r="UQN57" s="231"/>
      <c r="UQO57" s="229"/>
      <c r="UQP57" s="230"/>
      <c r="UQQ57" s="231"/>
      <c r="UQR57" s="232"/>
      <c r="UQS57" s="233"/>
      <c r="UQT57" s="233"/>
      <c r="UQU57" s="233"/>
      <c r="UQV57" s="233"/>
      <c r="UQW57" s="233"/>
      <c r="UQX57" s="233"/>
      <c r="UQY57" s="231"/>
      <c r="UQZ57" s="231"/>
      <c r="URA57" s="229"/>
      <c r="URB57" s="230"/>
      <c r="URC57" s="231"/>
      <c r="URD57" s="232"/>
      <c r="URE57" s="233"/>
      <c r="URF57" s="233"/>
      <c r="URG57" s="233"/>
      <c r="URH57" s="233"/>
      <c r="URI57" s="233"/>
      <c r="URJ57" s="233"/>
      <c r="URK57" s="231"/>
      <c r="URL57" s="231"/>
      <c r="URM57" s="229"/>
      <c r="URN57" s="230"/>
      <c r="URO57" s="231"/>
      <c r="URP57" s="232"/>
      <c r="URQ57" s="233"/>
      <c r="URR57" s="233"/>
      <c r="URS57" s="233"/>
      <c r="URT57" s="233"/>
      <c r="URU57" s="233"/>
      <c r="URV57" s="233"/>
      <c r="URW57" s="231"/>
      <c r="URX57" s="231"/>
      <c r="URY57" s="229"/>
      <c r="URZ57" s="230"/>
      <c r="USA57" s="231"/>
      <c r="USB57" s="232"/>
      <c r="USC57" s="233"/>
      <c r="USD57" s="233"/>
      <c r="USE57" s="233"/>
      <c r="USF57" s="233"/>
      <c r="USG57" s="233"/>
      <c r="USH57" s="233"/>
      <c r="USI57" s="231"/>
      <c r="USJ57" s="231"/>
      <c r="USK57" s="229"/>
      <c r="USL57" s="230"/>
      <c r="USM57" s="231"/>
      <c r="USN57" s="232"/>
      <c r="USO57" s="233"/>
      <c r="USP57" s="233"/>
      <c r="USQ57" s="233"/>
      <c r="USR57" s="233"/>
      <c r="USS57" s="233"/>
      <c r="UST57" s="233"/>
      <c r="USU57" s="231"/>
      <c r="USV57" s="231"/>
      <c r="USW57" s="229"/>
      <c r="USX57" s="230"/>
      <c r="USY57" s="231"/>
      <c r="USZ57" s="232"/>
      <c r="UTA57" s="233"/>
      <c r="UTB57" s="233"/>
      <c r="UTC57" s="233"/>
      <c r="UTD57" s="233"/>
      <c r="UTE57" s="233"/>
      <c r="UTF57" s="233"/>
      <c r="UTG57" s="231"/>
      <c r="UTH57" s="231"/>
      <c r="UTI57" s="229"/>
      <c r="UTJ57" s="230"/>
      <c r="UTK57" s="231"/>
      <c r="UTL57" s="232"/>
      <c r="UTM57" s="233"/>
      <c r="UTN57" s="233"/>
      <c r="UTO57" s="233"/>
      <c r="UTP57" s="233"/>
      <c r="UTQ57" s="233"/>
      <c r="UTR57" s="233"/>
      <c r="UTS57" s="231"/>
      <c r="UTT57" s="231"/>
      <c r="UTU57" s="229"/>
      <c r="UTV57" s="230"/>
      <c r="UTW57" s="231"/>
      <c r="UTX57" s="232"/>
      <c r="UTY57" s="233"/>
      <c r="UTZ57" s="233"/>
      <c r="UUA57" s="233"/>
      <c r="UUB57" s="233"/>
      <c r="UUC57" s="233"/>
      <c r="UUD57" s="233"/>
      <c r="UUE57" s="231"/>
      <c r="UUF57" s="231"/>
      <c r="UUG57" s="229"/>
      <c r="UUH57" s="230"/>
      <c r="UUI57" s="231"/>
      <c r="UUJ57" s="232"/>
      <c r="UUK57" s="233"/>
      <c r="UUL57" s="233"/>
      <c r="UUM57" s="233"/>
      <c r="UUN57" s="233"/>
      <c r="UUO57" s="233"/>
      <c r="UUP57" s="233"/>
      <c r="UUQ57" s="231"/>
      <c r="UUR57" s="231"/>
      <c r="UUS57" s="229"/>
      <c r="UUT57" s="230"/>
      <c r="UUU57" s="231"/>
      <c r="UUV57" s="232"/>
      <c r="UUW57" s="233"/>
      <c r="UUX57" s="233"/>
      <c r="UUY57" s="233"/>
      <c r="UUZ57" s="233"/>
      <c r="UVA57" s="233"/>
      <c r="UVB57" s="233"/>
      <c r="UVC57" s="231"/>
      <c r="UVD57" s="231"/>
      <c r="UVE57" s="229"/>
      <c r="UVF57" s="230"/>
      <c r="UVG57" s="231"/>
      <c r="UVH57" s="232"/>
      <c r="UVI57" s="233"/>
      <c r="UVJ57" s="233"/>
      <c r="UVK57" s="233"/>
      <c r="UVL57" s="233"/>
      <c r="UVM57" s="233"/>
      <c r="UVN57" s="233"/>
      <c r="UVO57" s="231"/>
      <c r="UVP57" s="231"/>
      <c r="UVQ57" s="229"/>
      <c r="UVR57" s="230"/>
      <c r="UVS57" s="231"/>
      <c r="UVT57" s="232"/>
      <c r="UVU57" s="233"/>
      <c r="UVV57" s="233"/>
      <c r="UVW57" s="233"/>
      <c r="UVX57" s="233"/>
      <c r="UVY57" s="233"/>
      <c r="UVZ57" s="233"/>
      <c r="UWA57" s="231"/>
      <c r="UWB57" s="231"/>
      <c r="UWC57" s="229"/>
      <c r="UWD57" s="230"/>
      <c r="UWE57" s="231"/>
      <c r="UWF57" s="232"/>
      <c r="UWG57" s="233"/>
      <c r="UWH57" s="233"/>
      <c r="UWI57" s="233"/>
      <c r="UWJ57" s="233"/>
      <c r="UWK57" s="233"/>
      <c r="UWL57" s="233"/>
      <c r="UWM57" s="231"/>
      <c r="UWN57" s="231"/>
      <c r="UWO57" s="229"/>
      <c r="UWP57" s="230"/>
      <c r="UWQ57" s="231"/>
      <c r="UWR57" s="232"/>
      <c r="UWS57" s="233"/>
      <c r="UWT57" s="233"/>
      <c r="UWU57" s="233"/>
      <c r="UWV57" s="233"/>
      <c r="UWW57" s="233"/>
      <c r="UWX57" s="233"/>
      <c r="UWY57" s="231"/>
      <c r="UWZ57" s="231"/>
      <c r="UXA57" s="229"/>
      <c r="UXB57" s="230"/>
      <c r="UXC57" s="231"/>
      <c r="UXD57" s="232"/>
      <c r="UXE57" s="233"/>
      <c r="UXF57" s="233"/>
      <c r="UXG57" s="233"/>
      <c r="UXH57" s="233"/>
      <c r="UXI57" s="233"/>
      <c r="UXJ57" s="233"/>
      <c r="UXK57" s="231"/>
      <c r="UXL57" s="231"/>
      <c r="UXM57" s="229"/>
      <c r="UXN57" s="230"/>
      <c r="UXO57" s="231"/>
      <c r="UXP57" s="232"/>
      <c r="UXQ57" s="233"/>
      <c r="UXR57" s="233"/>
      <c r="UXS57" s="233"/>
      <c r="UXT57" s="233"/>
      <c r="UXU57" s="233"/>
      <c r="UXV57" s="233"/>
      <c r="UXW57" s="231"/>
      <c r="UXX57" s="231"/>
      <c r="UXY57" s="229"/>
      <c r="UXZ57" s="230"/>
      <c r="UYA57" s="231"/>
      <c r="UYB57" s="232"/>
      <c r="UYC57" s="233"/>
      <c r="UYD57" s="233"/>
      <c r="UYE57" s="233"/>
      <c r="UYF57" s="233"/>
      <c r="UYG57" s="233"/>
      <c r="UYH57" s="233"/>
      <c r="UYI57" s="231"/>
      <c r="UYJ57" s="231"/>
      <c r="UYK57" s="229"/>
      <c r="UYL57" s="230"/>
      <c r="UYM57" s="231"/>
      <c r="UYN57" s="232"/>
      <c r="UYO57" s="233"/>
      <c r="UYP57" s="233"/>
      <c r="UYQ57" s="233"/>
      <c r="UYR57" s="233"/>
      <c r="UYS57" s="233"/>
      <c r="UYT57" s="233"/>
      <c r="UYU57" s="231"/>
      <c r="UYV57" s="231"/>
      <c r="UYW57" s="229"/>
      <c r="UYX57" s="230"/>
      <c r="UYY57" s="231"/>
      <c r="UYZ57" s="232"/>
      <c r="UZA57" s="233"/>
      <c r="UZB57" s="233"/>
      <c r="UZC57" s="233"/>
      <c r="UZD57" s="233"/>
      <c r="UZE57" s="233"/>
      <c r="UZF57" s="233"/>
      <c r="UZG57" s="231"/>
      <c r="UZH57" s="231"/>
      <c r="UZI57" s="229"/>
      <c r="UZJ57" s="230"/>
      <c r="UZK57" s="231"/>
      <c r="UZL57" s="232"/>
      <c r="UZM57" s="233"/>
      <c r="UZN57" s="233"/>
      <c r="UZO57" s="233"/>
      <c r="UZP57" s="233"/>
      <c r="UZQ57" s="233"/>
      <c r="UZR57" s="233"/>
      <c r="UZS57" s="231"/>
      <c r="UZT57" s="231"/>
      <c r="UZU57" s="229"/>
      <c r="UZV57" s="230"/>
      <c r="UZW57" s="231"/>
      <c r="UZX57" s="232"/>
      <c r="UZY57" s="233"/>
      <c r="UZZ57" s="233"/>
      <c r="VAA57" s="233"/>
      <c r="VAB57" s="233"/>
      <c r="VAC57" s="233"/>
      <c r="VAD57" s="233"/>
      <c r="VAE57" s="231"/>
      <c r="VAF57" s="231"/>
      <c r="VAG57" s="229"/>
      <c r="VAH57" s="230"/>
      <c r="VAI57" s="231"/>
      <c r="VAJ57" s="232"/>
      <c r="VAK57" s="233"/>
      <c r="VAL57" s="233"/>
      <c r="VAM57" s="233"/>
      <c r="VAN57" s="233"/>
      <c r="VAO57" s="233"/>
      <c r="VAP57" s="233"/>
      <c r="VAQ57" s="231"/>
      <c r="VAR57" s="231"/>
      <c r="VAS57" s="229"/>
      <c r="VAT57" s="230"/>
      <c r="VAU57" s="231"/>
      <c r="VAV57" s="232"/>
      <c r="VAW57" s="233"/>
      <c r="VAX57" s="233"/>
      <c r="VAY57" s="233"/>
      <c r="VAZ57" s="233"/>
      <c r="VBA57" s="233"/>
      <c r="VBB57" s="233"/>
      <c r="VBC57" s="231"/>
      <c r="VBD57" s="231"/>
      <c r="VBE57" s="229"/>
      <c r="VBF57" s="230"/>
      <c r="VBG57" s="231"/>
      <c r="VBH57" s="232"/>
      <c r="VBI57" s="233"/>
      <c r="VBJ57" s="233"/>
      <c r="VBK57" s="233"/>
      <c r="VBL57" s="233"/>
      <c r="VBM57" s="233"/>
      <c r="VBN57" s="233"/>
      <c r="VBO57" s="231"/>
      <c r="VBP57" s="231"/>
      <c r="VBQ57" s="229"/>
      <c r="VBR57" s="230"/>
      <c r="VBS57" s="231"/>
      <c r="VBT57" s="232"/>
      <c r="VBU57" s="233"/>
      <c r="VBV57" s="233"/>
      <c r="VBW57" s="233"/>
      <c r="VBX57" s="233"/>
      <c r="VBY57" s="233"/>
      <c r="VBZ57" s="233"/>
      <c r="VCA57" s="231"/>
      <c r="VCB57" s="231"/>
      <c r="VCC57" s="229"/>
      <c r="VCD57" s="230"/>
      <c r="VCE57" s="231"/>
      <c r="VCF57" s="232"/>
      <c r="VCG57" s="233"/>
      <c r="VCH57" s="233"/>
      <c r="VCI57" s="233"/>
      <c r="VCJ57" s="233"/>
      <c r="VCK57" s="233"/>
      <c r="VCL57" s="233"/>
      <c r="VCM57" s="231"/>
      <c r="VCN57" s="231"/>
      <c r="VCO57" s="229"/>
      <c r="VCP57" s="230"/>
      <c r="VCQ57" s="231"/>
      <c r="VCR57" s="232"/>
      <c r="VCS57" s="233"/>
      <c r="VCT57" s="233"/>
      <c r="VCU57" s="233"/>
      <c r="VCV57" s="233"/>
      <c r="VCW57" s="233"/>
      <c r="VCX57" s="233"/>
      <c r="VCY57" s="231"/>
      <c r="VCZ57" s="231"/>
      <c r="VDA57" s="229"/>
      <c r="VDB57" s="230"/>
      <c r="VDC57" s="231"/>
      <c r="VDD57" s="232"/>
      <c r="VDE57" s="233"/>
      <c r="VDF57" s="233"/>
      <c r="VDG57" s="233"/>
      <c r="VDH57" s="233"/>
      <c r="VDI57" s="233"/>
      <c r="VDJ57" s="233"/>
      <c r="VDK57" s="231"/>
      <c r="VDL57" s="231"/>
      <c r="VDM57" s="229"/>
      <c r="VDN57" s="230"/>
      <c r="VDO57" s="231"/>
      <c r="VDP57" s="232"/>
      <c r="VDQ57" s="233"/>
      <c r="VDR57" s="233"/>
      <c r="VDS57" s="233"/>
      <c r="VDT57" s="233"/>
      <c r="VDU57" s="233"/>
      <c r="VDV57" s="233"/>
      <c r="VDW57" s="231"/>
      <c r="VDX57" s="231"/>
      <c r="VDY57" s="229"/>
      <c r="VDZ57" s="230"/>
      <c r="VEA57" s="231"/>
      <c r="VEB57" s="232"/>
      <c r="VEC57" s="233"/>
      <c r="VED57" s="233"/>
      <c r="VEE57" s="233"/>
      <c r="VEF57" s="233"/>
      <c r="VEG57" s="233"/>
      <c r="VEH57" s="233"/>
      <c r="VEI57" s="231"/>
      <c r="VEJ57" s="231"/>
      <c r="VEK57" s="229"/>
      <c r="VEL57" s="230"/>
      <c r="VEM57" s="231"/>
      <c r="VEN57" s="232"/>
      <c r="VEO57" s="233"/>
      <c r="VEP57" s="233"/>
      <c r="VEQ57" s="233"/>
      <c r="VER57" s="233"/>
      <c r="VES57" s="233"/>
      <c r="VET57" s="233"/>
      <c r="VEU57" s="231"/>
      <c r="VEV57" s="231"/>
      <c r="VEW57" s="229"/>
      <c r="VEX57" s="230"/>
      <c r="VEY57" s="231"/>
      <c r="VEZ57" s="232"/>
      <c r="VFA57" s="233"/>
      <c r="VFB57" s="233"/>
      <c r="VFC57" s="233"/>
      <c r="VFD57" s="233"/>
      <c r="VFE57" s="233"/>
      <c r="VFF57" s="233"/>
      <c r="VFG57" s="231"/>
      <c r="VFH57" s="231"/>
      <c r="VFI57" s="229"/>
      <c r="VFJ57" s="230"/>
      <c r="VFK57" s="231"/>
      <c r="VFL57" s="232"/>
      <c r="VFM57" s="233"/>
      <c r="VFN57" s="233"/>
      <c r="VFO57" s="233"/>
      <c r="VFP57" s="233"/>
      <c r="VFQ57" s="233"/>
      <c r="VFR57" s="233"/>
      <c r="VFS57" s="231"/>
      <c r="VFT57" s="231"/>
      <c r="VFU57" s="229"/>
      <c r="VFV57" s="230"/>
      <c r="VFW57" s="231"/>
      <c r="VFX57" s="232"/>
      <c r="VFY57" s="233"/>
      <c r="VFZ57" s="233"/>
      <c r="VGA57" s="233"/>
      <c r="VGB57" s="233"/>
      <c r="VGC57" s="233"/>
      <c r="VGD57" s="233"/>
      <c r="VGE57" s="231"/>
      <c r="VGF57" s="231"/>
      <c r="VGG57" s="229"/>
      <c r="VGH57" s="230"/>
      <c r="VGI57" s="231"/>
      <c r="VGJ57" s="232"/>
      <c r="VGK57" s="233"/>
      <c r="VGL57" s="233"/>
      <c r="VGM57" s="233"/>
      <c r="VGN57" s="233"/>
      <c r="VGO57" s="233"/>
      <c r="VGP57" s="233"/>
      <c r="VGQ57" s="231"/>
      <c r="VGR57" s="231"/>
      <c r="VGS57" s="229"/>
      <c r="VGT57" s="230"/>
      <c r="VGU57" s="231"/>
      <c r="VGV57" s="232"/>
      <c r="VGW57" s="233"/>
      <c r="VGX57" s="233"/>
      <c r="VGY57" s="233"/>
      <c r="VGZ57" s="233"/>
      <c r="VHA57" s="233"/>
      <c r="VHB57" s="233"/>
      <c r="VHC57" s="231"/>
      <c r="VHD57" s="231"/>
      <c r="VHE57" s="229"/>
      <c r="VHF57" s="230"/>
      <c r="VHG57" s="231"/>
      <c r="VHH57" s="232"/>
      <c r="VHI57" s="233"/>
      <c r="VHJ57" s="233"/>
      <c r="VHK57" s="233"/>
      <c r="VHL57" s="233"/>
      <c r="VHM57" s="233"/>
      <c r="VHN57" s="233"/>
      <c r="VHO57" s="231"/>
      <c r="VHP57" s="231"/>
      <c r="VHQ57" s="229"/>
      <c r="VHR57" s="230"/>
      <c r="VHS57" s="231"/>
      <c r="VHT57" s="232"/>
      <c r="VHU57" s="233"/>
      <c r="VHV57" s="233"/>
      <c r="VHW57" s="233"/>
      <c r="VHX57" s="233"/>
      <c r="VHY57" s="233"/>
      <c r="VHZ57" s="233"/>
      <c r="VIA57" s="231"/>
      <c r="VIB57" s="231"/>
      <c r="VIC57" s="229"/>
      <c r="VID57" s="230"/>
      <c r="VIE57" s="231"/>
      <c r="VIF57" s="232"/>
      <c r="VIG57" s="233"/>
      <c r="VIH57" s="233"/>
      <c r="VII57" s="233"/>
      <c r="VIJ57" s="233"/>
      <c r="VIK57" s="233"/>
      <c r="VIL57" s="233"/>
      <c r="VIM57" s="231"/>
      <c r="VIN57" s="231"/>
      <c r="VIO57" s="229"/>
      <c r="VIP57" s="230"/>
      <c r="VIQ57" s="231"/>
      <c r="VIR57" s="232"/>
      <c r="VIS57" s="233"/>
      <c r="VIT57" s="233"/>
      <c r="VIU57" s="233"/>
      <c r="VIV57" s="233"/>
      <c r="VIW57" s="233"/>
      <c r="VIX57" s="233"/>
      <c r="VIY57" s="231"/>
      <c r="VIZ57" s="231"/>
      <c r="VJA57" s="229"/>
      <c r="VJB57" s="230"/>
      <c r="VJC57" s="231"/>
      <c r="VJD57" s="232"/>
      <c r="VJE57" s="233"/>
      <c r="VJF57" s="233"/>
      <c r="VJG57" s="233"/>
      <c r="VJH57" s="233"/>
      <c r="VJI57" s="233"/>
      <c r="VJJ57" s="233"/>
      <c r="VJK57" s="231"/>
      <c r="VJL57" s="231"/>
      <c r="VJM57" s="229"/>
      <c r="VJN57" s="230"/>
      <c r="VJO57" s="231"/>
      <c r="VJP57" s="232"/>
      <c r="VJQ57" s="233"/>
      <c r="VJR57" s="233"/>
      <c r="VJS57" s="233"/>
      <c r="VJT57" s="233"/>
      <c r="VJU57" s="233"/>
      <c r="VJV57" s="233"/>
      <c r="VJW57" s="231"/>
      <c r="VJX57" s="231"/>
      <c r="VJY57" s="229"/>
      <c r="VJZ57" s="230"/>
      <c r="VKA57" s="231"/>
      <c r="VKB57" s="232"/>
      <c r="VKC57" s="233"/>
      <c r="VKD57" s="233"/>
      <c r="VKE57" s="233"/>
      <c r="VKF57" s="233"/>
      <c r="VKG57" s="233"/>
      <c r="VKH57" s="233"/>
      <c r="VKI57" s="231"/>
      <c r="VKJ57" s="231"/>
      <c r="VKK57" s="229"/>
      <c r="VKL57" s="230"/>
      <c r="VKM57" s="231"/>
      <c r="VKN57" s="232"/>
      <c r="VKO57" s="233"/>
      <c r="VKP57" s="233"/>
      <c r="VKQ57" s="233"/>
      <c r="VKR57" s="233"/>
      <c r="VKS57" s="233"/>
      <c r="VKT57" s="233"/>
      <c r="VKU57" s="231"/>
      <c r="VKV57" s="231"/>
      <c r="VKW57" s="229"/>
      <c r="VKX57" s="230"/>
      <c r="VKY57" s="231"/>
      <c r="VKZ57" s="232"/>
      <c r="VLA57" s="233"/>
      <c r="VLB57" s="233"/>
      <c r="VLC57" s="233"/>
      <c r="VLD57" s="233"/>
      <c r="VLE57" s="233"/>
      <c r="VLF57" s="233"/>
      <c r="VLG57" s="231"/>
      <c r="VLH57" s="231"/>
      <c r="VLI57" s="229"/>
      <c r="VLJ57" s="230"/>
      <c r="VLK57" s="231"/>
      <c r="VLL57" s="232"/>
      <c r="VLM57" s="233"/>
      <c r="VLN57" s="233"/>
      <c r="VLO57" s="233"/>
      <c r="VLP57" s="233"/>
      <c r="VLQ57" s="233"/>
      <c r="VLR57" s="233"/>
      <c r="VLS57" s="231"/>
      <c r="VLT57" s="231"/>
      <c r="VLU57" s="229"/>
      <c r="VLV57" s="230"/>
      <c r="VLW57" s="231"/>
      <c r="VLX57" s="232"/>
      <c r="VLY57" s="233"/>
      <c r="VLZ57" s="233"/>
      <c r="VMA57" s="233"/>
      <c r="VMB57" s="233"/>
      <c r="VMC57" s="233"/>
      <c r="VMD57" s="233"/>
      <c r="VME57" s="231"/>
      <c r="VMF57" s="231"/>
      <c r="VMG57" s="229"/>
      <c r="VMH57" s="230"/>
      <c r="VMI57" s="231"/>
      <c r="VMJ57" s="232"/>
      <c r="VMK57" s="233"/>
      <c r="VML57" s="233"/>
      <c r="VMM57" s="233"/>
      <c r="VMN57" s="233"/>
      <c r="VMO57" s="233"/>
      <c r="VMP57" s="233"/>
      <c r="VMQ57" s="231"/>
      <c r="VMR57" s="231"/>
      <c r="VMS57" s="229"/>
      <c r="VMT57" s="230"/>
      <c r="VMU57" s="231"/>
      <c r="VMV57" s="232"/>
      <c r="VMW57" s="233"/>
      <c r="VMX57" s="233"/>
      <c r="VMY57" s="233"/>
      <c r="VMZ57" s="233"/>
      <c r="VNA57" s="233"/>
      <c r="VNB57" s="233"/>
      <c r="VNC57" s="231"/>
      <c r="VND57" s="231"/>
      <c r="VNE57" s="229"/>
      <c r="VNF57" s="230"/>
      <c r="VNG57" s="231"/>
      <c r="VNH57" s="232"/>
      <c r="VNI57" s="233"/>
      <c r="VNJ57" s="233"/>
      <c r="VNK57" s="233"/>
      <c r="VNL57" s="233"/>
      <c r="VNM57" s="233"/>
      <c r="VNN57" s="233"/>
      <c r="VNO57" s="231"/>
      <c r="VNP57" s="231"/>
      <c r="VNQ57" s="229"/>
      <c r="VNR57" s="230"/>
      <c r="VNS57" s="231"/>
      <c r="VNT57" s="232"/>
      <c r="VNU57" s="233"/>
      <c r="VNV57" s="233"/>
      <c r="VNW57" s="233"/>
      <c r="VNX57" s="233"/>
      <c r="VNY57" s="233"/>
      <c r="VNZ57" s="233"/>
      <c r="VOA57" s="231"/>
      <c r="VOB57" s="231"/>
      <c r="VOC57" s="229"/>
      <c r="VOD57" s="230"/>
      <c r="VOE57" s="231"/>
      <c r="VOF57" s="232"/>
      <c r="VOG57" s="233"/>
      <c r="VOH57" s="233"/>
      <c r="VOI57" s="233"/>
      <c r="VOJ57" s="233"/>
      <c r="VOK57" s="233"/>
      <c r="VOL57" s="233"/>
      <c r="VOM57" s="231"/>
      <c r="VON57" s="231"/>
      <c r="VOO57" s="229"/>
      <c r="VOP57" s="230"/>
      <c r="VOQ57" s="231"/>
      <c r="VOR57" s="232"/>
      <c r="VOS57" s="233"/>
      <c r="VOT57" s="233"/>
      <c r="VOU57" s="233"/>
      <c r="VOV57" s="233"/>
      <c r="VOW57" s="233"/>
      <c r="VOX57" s="233"/>
      <c r="VOY57" s="231"/>
      <c r="VOZ57" s="231"/>
      <c r="VPA57" s="229"/>
      <c r="VPB57" s="230"/>
      <c r="VPC57" s="231"/>
      <c r="VPD57" s="232"/>
      <c r="VPE57" s="233"/>
      <c r="VPF57" s="233"/>
      <c r="VPG57" s="233"/>
      <c r="VPH57" s="233"/>
      <c r="VPI57" s="233"/>
      <c r="VPJ57" s="233"/>
      <c r="VPK57" s="231"/>
      <c r="VPL57" s="231"/>
      <c r="VPM57" s="229"/>
      <c r="VPN57" s="230"/>
      <c r="VPO57" s="231"/>
      <c r="VPP57" s="232"/>
      <c r="VPQ57" s="233"/>
      <c r="VPR57" s="233"/>
      <c r="VPS57" s="233"/>
      <c r="VPT57" s="233"/>
      <c r="VPU57" s="233"/>
      <c r="VPV57" s="233"/>
      <c r="VPW57" s="231"/>
      <c r="VPX57" s="231"/>
      <c r="VPY57" s="229"/>
      <c r="VPZ57" s="230"/>
      <c r="VQA57" s="231"/>
      <c r="VQB57" s="232"/>
      <c r="VQC57" s="233"/>
      <c r="VQD57" s="233"/>
      <c r="VQE57" s="233"/>
      <c r="VQF57" s="233"/>
      <c r="VQG57" s="233"/>
      <c r="VQH57" s="233"/>
      <c r="VQI57" s="231"/>
      <c r="VQJ57" s="231"/>
      <c r="VQK57" s="229"/>
      <c r="VQL57" s="230"/>
      <c r="VQM57" s="231"/>
      <c r="VQN57" s="232"/>
      <c r="VQO57" s="233"/>
      <c r="VQP57" s="233"/>
      <c r="VQQ57" s="233"/>
      <c r="VQR57" s="233"/>
      <c r="VQS57" s="233"/>
      <c r="VQT57" s="233"/>
      <c r="VQU57" s="231"/>
      <c r="VQV57" s="231"/>
      <c r="VQW57" s="229"/>
      <c r="VQX57" s="230"/>
      <c r="VQY57" s="231"/>
      <c r="VQZ57" s="232"/>
      <c r="VRA57" s="233"/>
      <c r="VRB57" s="233"/>
      <c r="VRC57" s="233"/>
      <c r="VRD57" s="233"/>
      <c r="VRE57" s="233"/>
      <c r="VRF57" s="233"/>
      <c r="VRG57" s="231"/>
      <c r="VRH57" s="231"/>
      <c r="VRI57" s="229"/>
      <c r="VRJ57" s="230"/>
      <c r="VRK57" s="231"/>
      <c r="VRL57" s="232"/>
      <c r="VRM57" s="233"/>
      <c r="VRN57" s="233"/>
      <c r="VRO57" s="233"/>
      <c r="VRP57" s="233"/>
      <c r="VRQ57" s="233"/>
      <c r="VRR57" s="233"/>
      <c r="VRS57" s="231"/>
      <c r="VRT57" s="231"/>
      <c r="VRU57" s="229"/>
      <c r="VRV57" s="230"/>
      <c r="VRW57" s="231"/>
      <c r="VRX57" s="232"/>
      <c r="VRY57" s="233"/>
      <c r="VRZ57" s="233"/>
      <c r="VSA57" s="233"/>
      <c r="VSB57" s="233"/>
      <c r="VSC57" s="233"/>
      <c r="VSD57" s="233"/>
      <c r="VSE57" s="231"/>
      <c r="VSF57" s="231"/>
      <c r="VSG57" s="229"/>
      <c r="VSH57" s="230"/>
      <c r="VSI57" s="231"/>
      <c r="VSJ57" s="232"/>
      <c r="VSK57" s="233"/>
      <c r="VSL57" s="233"/>
      <c r="VSM57" s="233"/>
      <c r="VSN57" s="233"/>
      <c r="VSO57" s="233"/>
      <c r="VSP57" s="233"/>
      <c r="VSQ57" s="231"/>
      <c r="VSR57" s="231"/>
      <c r="VSS57" s="229"/>
      <c r="VST57" s="230"/>
      <c r="VSU57" s="231"/>
      <c r="VSV57" s="232"/>
      <c r="VSW57" s="233"/>
      <c r="VSX57" s="233"/>
      <c r="VSY57" s="233"/>
      <c r="VSZ57" s="233"/>
      <c r="VTA57" s="233"/>
      <c r="VTB57" s="233"/>
      <c r="VTC57" s="231"/>
      <c r="VTD57" s="231"/>
      <c r="VTE57" s="229"/>
      <c r="VTF57" s="230"/>
      <c r="VTG57" s="231"/>
      <c r="VTH57" s="232"/>
      <c r="VTI57" s="233"/>
      <c r="VTJ57" s="233"/>
      <c r="VTK57" s="233"/>
      <c r="VTL57" s="233"/>
      <c r="VTM57" s="233"/>
      <c r="VTN57" s="233"/>
      <c r="VTO57" s="231"/>
      <c r="VTP57" s="231"/>
      <c r="VTQ57" s="229"/>
      <c r="VTR57" s="230"/>
      <c r="VTS57" s="231"/>
      <c r="VTT57" s="232"/>
      <c r="VTU57" s="233"/>
      <c r="VTV57" s="233"/>
      <c r="VTW57" s="233"/>
      <c r="VTX57" s="233"/>
      <c r="VTY57" s="233"/>
      <c r="VTZ57" s="233"/>
      <c r="VUA57" s="231"/>
      <c r="VUB57" s="231"/>
      <c r="VUC57" s="229"/>
      <c r="VUD57" s="230"/>
      <c r="VUE57" s="231"/>
      <c r="VUF57" s="232"/>
      <c r="VUG57" s="233"/>
      <c r="VUH57" s="233"/>
      <c r="VUI57" s="233"/>
      <c r="VUJ57" s="233"/>
      <c r="VUK57" s="233"/>
      <c r="VUL57" s="233"/>
      <c r="VUM57" s="231"/>
      <c r="VUN57" s="231"/>
      <c r="VUO57" s="229"/>
      <c r="VUP57" s="230"/>
      <c r="VUQ57" s="231"/>
      <c r="VUR57" s="232"/>
      <c r="VUS57" s="233"/>
      <c r="VUT57" s="233"/>
      <c r="VUU57" s="233"/>
      <c r="VUV57" s="233"/>
      <c r="VUW57" s="233"/>
      <c r="VUX57" s="233"/>
      <c r="VUY57" s="231"/>
      <c r="VUZ57" s="231"/>
      <c r="VVA57" s="229"/>
      <c r="VVB57" s="230"/>
      <c r="VVC57" s="231"/>
      <c r="VVD57" s="232"/>
      <c r="VVE57" s="233"/>
      <c r="VVF57" s="233"/>
      <c r="VVG57" s="233"/>
      <c r="VVH57" s="233"/>
      <c r="VVI57" s="233"/>
      <c r="VVJ57" s="233"/>
      <c r="VVK57" s="231"/>
      <c r="VVL57" s="231"/>
      <c r="VVM57" s="229"/>
      <c r="VVN57" s="230"/>
      <c r="VVO57" s="231"/>
      <c r="VVP57" s="232"/>
      <c r="VVQ57" s="233"/>
      <c r="VVR57" s="233"/>
      <c r="VVS57" s="233"/>
      <c r="VVT57" s="233"/>
      <c r="VVU57" s="233"/>
      <c r="VVV57" s="233"/>
      <c r="VVW57" s="231"/>
      <c r="VVX57" s="231"/>
      <c r="VVY57" s="229"/>
      <c r="VVZ57" s="230"/>
      <c r="VWA57" s="231"/>
      <c r="VWB57" s="232"/>
      <c r="VWC57" s="233"/>
      <c r="VWD57" s="233"/>
      <c r="VWE57" s="233"/>
      <c r="VWF57" s="233"/>
      <c r="VWG57" s="233"/>
      <c r="VWH57" s="233"/>
      <c r="VWI57" s="231"/>
      <c r="VWJ57" s="231"/>
      <c r="VWK57" s="229"/>
      <c r="VWL57" s="230"/>
      <c r="VWM57" s="231"/>
      <c r="VWN57" s="232"/>
      <c r="VWO57" s="233"/>
      <c r="VWP57" s="233"/>
      <c r="VWQ57" s="233"/>
      <c r="VWR57" s="233"/>
      <c r="VWS57" s="233"/>
      <c r="VWT57" s="233"/>
      <c r="VWU57" s="231"/>
      <c r="VWV57" s="231"/>
      <c r="VWW57" s="229"/>
      <c r="VWX57" s="230"/>
      <c r="VWY57" s="231"/>
      <c r="VWZ57" s="232"/>
      <c r="VXA57" s="233"/>
      <c r="VXB57" s="233"/>
      <c r="VXC57" s="233"/>
      <c r="VXD57" s="233"/>
      <c r="VXE57" s="233"/>
      <c r="VXF57" s="233"/>
      <c r="VXG57" s="231"/>
      <c r="VXH57" s="231"/>
      <c r="VXI57" s="229"/>
      <c r="VXJ57" s="230"/>
      <c r="VXK57" s="231"/>
      <c r="VXL57" s="232"/>
      <c r="VXM57" s="233"/>
      <c r="VXN57" s="233"/>
      <c r="VXO57" s="233"/>
      <c r="VXP57" s="233"/>
      <c r="VXQ57" s="233"/>
      <c r="VXR57" s="233"/>
      <c r="VXS57" s="231"/>
      <c r="VXT57" s="231"/>
      <c r="VXU57" s="229"/>
      <c r="VXV57" s="230"/>
      <c r="VXW57" s="231"/>
      <c r="VXX57" s="232"/>
      <c r="VXY57" s="233"/>
      <c r="VXZ57" s="233"/>
      <c r="VYA57" s="233"/>
      <c r="VYB57" s="233"/>
      <c r="VYC57" s="233"/>
      <c r="VYD57" s="233"/>
      <c r="VYE57" s="231"/>
      <c r="VYF57" s="231"/>
      <c r="VYG57" s="229"/>
      <c r="VYH57" s="230"/>
      <c r="VYI57" s="231"/>
      <c r="VYJ57" s="232"/>
      <c r="VYK57" s="233"/>
      <c r="VYL57" s="233"/>
      <c r="VYM57" s="233"/>
      <c r="VYN57" s="233"/>
      <c r="VYO57" s="233"/>
      <c r="VYP57" s="233"/>
      <c r="VYQ57" s="231"/>
      <c r="VYR57" s="231"/>
      <c r="VYS57" s="229"/>
      <c r="VYT57" s="230"/>
      <c r="VYU57" s="231"/>
      <c r="VYV57" s="232"/>
      <c r="VYW57" s="233"/>
      <c r="VYX57" s="233"/>
      <c r="VYY57" s="233"/>
      <c r="VYZ57" s="233"/>
      <c r="VZA57" s="233"/>
      <c r="VZB57" s="233"/>
      <c r="VZC57" s="231"/>
      <c r="VZD57" s="231"/>
      <c r="VZE57" s="229"/>
      <c r="VZF57" s="230"/>
      <c r="VZG57" s="231"/>
      <c r="VZH57" s="232"/>
      <c r="VZI57" s="233"/>
      <c r="VZJ57" s="233"/>
      <c r="VZK57" s="233"/>
      <c r="VZL57" s="233"/>
      <c r="VZM57" s="233"/>
      <c r="VZN57" s="233"/>
      <c r="VZO57" s="231"/>
      <c r="VZP57" s="231"/>
      <c r="VZQ57" s="229"/>
      <c r="VZR57" s="230"/>
      <c r="VZS57" s="231"/>
      <c r="VZT57" s="232"/>
      <c r="VZU57" s="233"/>
      <c r="VZV57" s="233"/>
      <c r="VZW57" s="233"/>
      <c r="VZX57" s="233"/>
      <c r="VZY57" s="233"/>
      <c r="VZZ57" s="233"/>
      <c r="WAA57" s="231"/>
      <c r="WAB57" s="231"/>
      <c r="WAC57" s="229"/>
      <c r="WAD57" s="230"/>
      <c r="WAE57" s="231"/>
      <c r="WAF57" s="232"/>
      <c r="WAG57" s="233"/>
      <c r="WAH57" s="233"/>
      <c r="WAI57" s="233"/>
      <c r="WAJ57" s="233"/>
      <c r="WAK57" s="233"/>
      <c r="WAL57" s="233"/>
      <c r="WAM57" s="231"/>
      <c r="WAN57" s="231"/>
      <c r="WAO57" s="229"/>
      <c r="WAP57" s="230"/>
      <c r="WAQ57" s="231"/>
      <c r="WAR57" s="232"/>
      <c r="WAS57" s="233"/>
      <c r="WAT57" s="233"/>
      <c r="WAU57" s="233"/>
      <c r="WAV57" s="233"/>
      <c r="WAW57" s="233"/>
      <c r="WAX57" s="233"/>
      <c r="WAY57" s="231"/>
      <c r="WAZ57" s="231"/>
      <c r="WBA57" s="229"/>
      <c r="WBB57" s="230"/>
      <c r="WBC57" s="231"/>
      <c r="WBD57" s="232"/>
      <c r="WBE57" s="233"/>
      <c r="WBF57" s="233"/>
      <c r="WBG57" s="233"/>
      <c r="WBH57" s="233"/>
      <c r="WBI57" s="233"/>
      <c r="WBJ57" s="233"/>
      <c r="WBK57" s="231"/>
      <c r="WBL57" s="231"/>
      <c r="WBM57" s="229"/>
      <c r="WBN57" s="230"/>
      <c r="WBO57" s="231"/>
      <c r="WBP57" s="232"/>
      <c r="WBQ57" s="233"/>
      <c r="WBR57" s="233"/>
      <c r="WBS57" s="233"/>
      <c r="WBT57" s="233"/>
      <c r="WBU57" s="233"/>
      <c r="WBV57" s="233"/>
      <c r="WBW57" s="231"/>
      <c r="WBX57" s="231"/>
      <c r="WBY57" s="229"/>
      <c r="WBZ57" s="230"/>
      <c r="WCA57" s="231"/>
      <c r="WCB57" s="232"/>
      <c r="WCC57" s="233"/>
      <c r="WCD57" s="233"/>
      <c r="WCE57" s="233"/>
      <c r="WCF57" s="233"/>
      <c r="WCG57" s="233"/>
      <c r="WCH57" s="233"/>
      <c r="WCI57" s="231"/>
      <c r="WCJ57" s="231"/>
      <c r="WCK57" s="229"/>
      <c r="WCL57" s="230"/>
      <c r="WCM57" s="231"/>
      <c r="WCN57" s="232"/>
      <c r="WCO57" s="233"/>
      <c r="WCP57" s="233"/>
      <c r="WCQ57" s="233"/>
      <c r="WCR57" s="233"/>
      <c r="WCS57" s="233"/>
      <c r="WCT57" s="233"/>
      <c r="WCU57" s="231"/>
      <c r="WCV57" s="231"/>
      <c r="WCW57" s="229"/>
      <c r="WCX57" s="230"/>
      <c r="WCY57" s="231"/>
      <c r="WCZ57" s="232"/>
      <c r="WDA57" s="233"/>
      <c r="WDB57" s="233"/>
      <c r="WDC57" s="233"/>
      <c r="WDD57" s="233"/>
      <c r="WDE57" s="233"/>
      <c r="WDF57" s="233"/>
      <c r="WDG57" s="231"/>
      <c r="WDH57" s="231"/>
      <c r="WDI57" s="229"/>
      <c r="WDJ57" s="230"/>
      <c r="WDK57" s="231"/>
      <c r="WDL57" s="232"/>
      <c r="WDM57" s="233"/>
      <c r="WDN57" s="233"/>
      <c r="WDO57" s="233"/>
      <c r="WDP57" s="233"/>
      <c r="WDQ57" s="233"/>
      <c r="WDR57" s="233"/>
      <c r="WDS57" s="231"/>
      <c r="WDT57" s="231"/>
      <c r="WDU57" s="229"/>
      <c r="WDV57" s="230"/>
      <c r="WDW57" s="231"/>
      <c r="WDX57" s="232"/>
      <c r="WDY57" s="233"/>
      <c r="WDZ57" s="233"/>
      <c r="WEA57" s="233"/>
      <c r="WEB57" s="233"/>
      <c r="WEC57" s="233"/>
      <c r="WED57" s="233"/>
      <c r="WEE57" s="231"/>
      <c r="WEF57" s="231"/>
      <c r="WEG57" s="229"/>
      <c r="WEH57" s="230"/>
      <c r="WEI57" s="231"/>
      <c r="WEJ57" s="232"/>
      <c r="WEK57" s="233"/>
      <c r="WEL57" s="233"/>
      <c r="WEM57" s="233"/>
      <c r="WEN57" s="233"/>
      <c r="WEO57" s="233"/>
      <c r="WEP57" s="233"/>
      <c r="WEQ57" s="231"/>
      <c r="WER57" s="231"/>
      <c r="WES57" s="229"/>
      <c r="WET57" s="230"/>
      <c r="WEU57" s="231"/>
      <c r="WEV57" s="232"/>
      <c r="WEW57" s="233"/>
      <c r="WEX57" s="233"/>
      <c r="WEY57" s="233"/>
      <c r="WEZ57" s="233"/>
      <c r="WFA57" s="233"/>
      <c r="WFB57" s="233"/>
      <c r="WFC57" s="231"/>
      <c r="WFD57" s="231"/>
      <c r="WFE57" s="229"/>
      <c r="WFF57" s="230"/>
      <c r="WFG57" s="231"/>
      <c r="WFH57" s="232"/>
      <c r="WFI57" s="233"/>
      <c r="WFJ57" s="233"/>
      <c r="WFK57" s="233"/>
      <c r="WFL57" s="233"/>
      <c r="WFM57" s="233"/>
      <c r="WFN57" s="233"/>
      <c r="WFO57" s="231"/>
      <c r="WFP57" s="231"/>
      <c r="WFQ57" s="229"/>
      <c r="WFR57" s="230"/>
      <c r="WFS57" s="231"/>
      <c r="WFT57" s="232"/>
      <c r="WFU57" s="233"/>
      <c r="WFV57" s="233"/>
      <c r="WFW57" s="233"/>
      <c r="WFX57" s="233"/>
      <c r="WFY57" s="233"/>
      <c r="WFZ57" s="233"/>
      <c r="WGA57" s="231"/>
      <c r="WGB57" s="231"/>
      <c r="WGC57" s="229"/>
      <c r="WGD57" s="230"/>
      <c r="WGE57" s="231"/>
      <c r="WGF57" s="232"/>
      <c r="WGG57" s="233"/>
      <c r="WGH57" s="233"/>
      <c r="WGI57" s="233"/>
      <c r="WGJ57" s="233"/>
      <c r="WGK57" s="233"/>
      <c r="WGL57" s="233"/>
      <c r="WGM57" s="231"/>
      <c r="WGN57" s="231"/>
      <c r="WGO57" s="229"/>
      <c r="WGP57" s="230"/>
      <c r="WGQ57" s="231"/>
      <c r="WGR57" s="232"/>
      <c r="WGS57" s="233"/>
      <c r="WGT57" s="233"/>
      <c r="WGU57" s="233"/>
      <c r="WGV57" s="233"/>
      <c r="WGW57" s="233"/>
      <c r="WGX57" s="233"/>
      <c r="WGY57" s="231"/>
      <c r="WGZ57" s="231"/>
      <c r="WHA57" s="229"/>
      <c r="WHB57" s="230"/>
      <c r="WHC57" s="231"/>
      <c r="WHD57" s="232"/>
      <c r="WHE57" s="233"/>
      <c r="WHF57" s="233"/>
      <c r="WHG57" s="233"/>
      <c r="WHH57" s="233"/>
      <c r="WHI57" s="233"/>
      <c r="WHJ57" s="233"/>
      <c r="WHK57" s="231"/>
      <c r="WHL57" s="231"/>
      <c r="WHM57" s="229"/>
      <c r="WHN57" s="230"/>
      <c r="WHO57" s="231"/>
      <c r="WHP57" s="232"/>
      <c r="WHQ57" s="233"/>
      <c r="WHR57" s="233"/>
      <c r="WHS57" s="233"/>
      <c r="WHT57" s="233"/>
      <c r="WHU57" s="233"/>
      <c r="WHV57" s="233"/>
      <c r="WHW57" s="231"/>
      <c r="WHX57" s="231"/>
      <c r="WHY57" s="229"/>
      <c r="WHZ57" s="230"/>
      <c r="WIA57" s="231"/>
      <c r="WIB57" s="232"/>
      <c r="WIC57" s="233"/>
      <c r="WID57" s="233"/>
      <c r="WIE57" s="233"/>
      <c r="WIF57" s="233"/>
      <c r="WIG57" s="233"/>
      <c r="WIH57" s="233"/>
      <c r="WII57" s="231"/>
      <c r="WIJ57" s="231"/>
      <c r="WIK57" s="229"/>
      <c r="WIL57" s="230"/>
      <c r="WIM57" s="231"/>
      <c r="WIN57" s="232"/>
      <c r="WIO57" s="233"/>
      <c r="WIP57" s="233"/>
      <c r="WIQ57" s="233"/>
      <c r="WIR57" s="233"/>
      <c r="WIS57" s="233"/>
      <c r="WIT57" s="233"/>
      <c r="WIU57" s="231"/>
      <c r="WIV57" s="231"/>
      <c r="WIW57" s="229"/>
      <c r="WIX57" s="230"/>
      <c r="WIY57" s="231"/>
      <c r="WIZ57" s="232"/>
      <c r="WJA57" s="233"/>
      <c r="WJB57" s="233"/>
      <c r="WJC57" s="233"/>
      <c r="WJD57" s="233"/>
      <c r="WJE57" s="233"/>
      <c r="WJF57" s="233"/>
      <c r="WJG57" s="231"/>
      <c r="WJH57" s="231"/>
      <c r="WJI57" s="229"/>
      <c r="WJJ57" s="230"/>
      <c r="WJK57" s="231"/>
      <c r="WJL57" s="232"/>
      <c r="WJM57" s="233"/>
      <c r="WJN57" s="233"/>
      <c r="WJO57" s="233"/>
      <c r="WJP57" s="233"/>
      <c r="WJQ57" s="233"/>
      <c r="WJR57" s="233"/>
      <c r="WJS57" s="231"/>
      <c r="WJT57" s="231"/>
      <c r="WJU57" s="229"/>
      <c r="WJV57" s="230"/>
      <c r="WJW57" s="231"/>
      <c r="WJX57" s="232"/>
      <c r="WJY57" s="233"/>
      <c r="WJZ57" s="233"/>
      <c r="WKA57" s="233"/>
      <c r="WKB57" s="233"/>
      <c r="WKC57" s="233"/>
      <c r="WKD57" s="233"/>
      <c r="WKE57" s="231"/>
      <c r="WKF57" s="231"/>
      <c r="WKG57" s="229"/>
      <c r="WKH57" s="230"/>
      <c r="WKI57" s="231"/>
      <c r="WKJ57" s="232"/>
      <c r="WKK57" s="233"/>
      <c r="WKL57" s="233"/>
      <c r="WKM57" s="233"/>
      <c r="WKN57" s="233"/>
      <c r="WKO57" s="233"/>
      <c r="WKP57" s="233"/>
      <c r="WKQ57" s="231"/>
      <c r="WKR57" s="231"/>
      <c r="WKS57" s="229"/>
      <c r="WKT57" s="230"/>
      <c r="WKU57" s="231"/>
      <c r="WKV57" s="232"/>
      <c r="WKW57" s="233"/>
      <c r="WKX57" s="233"/>
      <c r="WKY57" s="233"/>
      <c r="WKZ57" s="233"/>
      <c r="WLA57" s="233"/>
      <c r="WLB57" s="233"/>
      <c r="WLC57" s="231"/>
      <c r="WLD57" s="231"/>
      <c r="WLE57" s="229"/>
      <c r="WLF57" s="230"/>
      <c r="WLG57" s="231"/>
      <c r="WLH57" s="232"/>
      <c r="WLI57" s="233"/>
      <c r="WLJ57" s="233"/>
      <c r="WLK57" s="233"/>
      <c r="WLL57" s="233"/>
      <c r="WLM57" s="233"/>
      <c r="WLN57" s="233"/>
      <c r="WLO57" s="231"/>
      <c r="WLP57" s="231"/>
      <c r="WLQ57" s="229"/>
      <c r="WLR57" s="230"/>
      <c r="WLS57" s="231"/>
      <c r="WLT57" s="232"/>
      <c r="WLU57" s="233"/>
      <c r="WLV57" s="233"/>
      <c r="WLW57" s="233"/>
      <c r="WLX57" s="233"/>
      <c r="WLY57" s="233"/>
      <c r="WLZ57" s="233"/>
      <c r="WMA57" s="231"/>
      <c r="WMB57" s="231"/>
      <c r="WMC57" s="229"/>
      <c r="WMD57" s="230"/>
      <c r="WME57" s="231"/>
      <c r="WMF57" s="232"/>
      <c r="WMG57" s="233"/>
      <c r="WMH57" s="233"/>
      <c r="WMI57" s="233"/>
      <c r="WMJ57" s="233"/>
      <c r="WMK57" s="233"/>
      <c r="WML57" s="233"/>
      <c r="WMM57" s="231"/>
      <c r="WMN57" s="231"/>
      <c r="WMO57" s="229"/>
      <c r="WMP57" s="230"/>
      <c r="WMQ57" s="231"/>
      <c r="WMR57" s="232"/>
      <c r="WMS57" s="233"/>
      <c r="WMT57" s="233"/>
      <c r="WMU57" s="233"/>
      <c r="WMV57" s="233"/>
      <c r="WMW57" s="233"/>
      <c r="WMX57" s="233"/>
      <c r="WMY57" s="231"/>
      <c r="WMZ57" s="231"/>
      <c r="WNA57" s="229"/>
      <c r="WNB57" s="230"/>
      <c r="WNC57" s="231"/>
      <c r="WND57" s="232"/>
      <c r="WNE57" s="233"/>
      <c r="WNF57" s="233"/>
      <c r="WNG57" s="233"/>
      <c r="WNH57" s="233"/>
      <c r="WNI57" s="233"/>
      <c r="WNJ57" s="233"/>
      <c r="WNK57" s="231"/>
      <c r="WNL57" s="231"/>
      <c r="WNM57" s="229"/>
      <c r="WNN57" s="230"/>
      <c r="WNO57" s="231"/>
      <c r="WNP57" s="232"/>
      <c r="WNQ57" s="233"/>
      <c r="WNR57" s="233"/>
      <c r="WNS57" s="233"/>
      <c r="WNT57" s="233"/>
      <c r="WNU57" s="233"/>
      <c r="WNV57" s="233"/>
      <c r="WNW57" s="231"/>
      <c r="WNX57" s="231"/>
      <c r="WNY57" s="229"/>
      <c r="WNZ57" s="230"/>
      <c r="WOA57" s="231"/>
      <c r="WOB57" s="232"/>
      <c r="WOC57" s="233"/>
      <c r="WOD57" s="233"/>
      <c r="WOE57" s="233"/>
      <c r="WOF57" s="233"/>
      <c r="WOG57" s="233"/>
      <c r="WOH57" s="233"/>
      <c r="WOI57" s="231"/>
      <c r="WOJ57" s="231"/>
      <c r="WOK57" s="229"/>
      <c r="WOL57" s="230"/>
      <c r="WOM57" s="231"/>
      <c r="WON57" s="232"/>
      <c r="WOO57" s="233"/>
      <c r="WOP57" s="233"/>
      <c r="WOQ57" s="233"/>
      <c r="WOR57" s="233"/>
      <c r="WOS57" s="233"/>
      <c r="WOT57" s="233"/>
      <c r="WOU57" s="231"/>
      <c r="WOV57" s="231"/>
      <c r="WOW57" s="229"/>
      <c r="WOX57" s="230"/>
      <c r="WOY57" s="231"/>
      <c r="WOZ57" s="232"/>
      <c r="WPA57" s="233"/>
      <c r="WPB57" s="233"/>
      <c r="WPC57" s="233"/>
      <c r="WPD57" s="233"/>
      <c r="WPE57" s="233"/>
      <c r="WPF57" s="233"/>
      <c r="WPG57" s="231"/>
      <c r="WPH57" s="231"/>
      <c r="WPI57" s="229"/>
      <c r="WPJ57" s="230"/>
      <c r="WPK57" s="231"/>
      <c r="WPL57" s="232"/>
      <c r="WPM57" s="233"/>
      <c r="WPN57" s="233"/>
      <c r="WPO57" s="233"/>
      <c r="WPP57" s="233"/>
      <c r="WPQ57" s="233"/>
      <c r="WPR57" s="233"/>
      <c r="WPS57" s="231"/>
      <c r="WPT57" s="231"/>
      <c r="WPU57" s="229"/>
      <c r="WPV57" s="230"/>
      <c r="WPW57" s="231"/>
      <c r="WPX57" s="232"/>
      <c r="WPY57" s="233"/>
      <c r="WPZ57" s="233"/>
      <c r="WQA57" s="233"/>
      <c r="WQB57" s="233"/>
      <c r="WQC57" s="233"/>
      <c r="WQD57" s="233"/>
      <c r="WQE57" s="231"/>
      <c r="WQF57" s="231"/>
      <c r="WQG57" s="229"/>
      <c r="WQH57" s="230"/>
      <c r="WQI57" s="231"/>
      <c r="WQJ57" s="232"/>
      <c r="WQK57" s="233"/>
      <c r="WQL57" s="233"/>
      <c r="WQM57" s="233"/>
      <c r="WQN57" s="233"/>
      <c r="WQO57" s="233"/>
      <c r="WQP57" s="233"/>
      <c r="WQQ57" s="231"/>
      <c r="WQR57" s="231"/>
      <c r="WQS57" s="229"/>
      <c r="WQT57" s="230"/>
      <c r="WQU57" s="231"/>
      <c r="WQV57" s="232"/>
      <c r="WQW57" s="233"/>
      <c r="WQX57" s="233"/>
      <c r="WQY57" s="233"/>
      <c r="WQZ57" s="233"/>
      <c r="WRA57" s="233"/>
      <c r="WRB57" s="233"/>
      <c r="WRC57" s="231"/>
      <c r="WRD57" s="231"/>
      <c r="WRE57" s="229"/>
      <c r="WRF57" s="230"/>
      <c r="WRG57" s="231"/>
      <c r="WRH57" s="232"/>
      <c r="WRI57" s="233"/>
      <c r="WRJ57" s="233"/>
      <c r="WRK57" s="233"/>
      <c r="WRL57" s="233"/>
      <c r="WRM57" s="233"/>
      <c r="WRN57" s="233"/>
      <c r="WRO57" s="231"/>
      <c r="WRP57" s="231"/>
      <c r="WRQ57" s="229"/>
      <c r="WRR57" s="230"/>
      <c r="WRS57" s="231"/>
      <c r="WRT57" s="232"/>
      <c r="WRU57" s="233"/>
      <c r="WRV57" s="233"/>
      <c r="WRW57" s="233"/>
      <c r="WRX57" s="233"/>
      <c r="WRY57" s="233"/>
      <c r="WRZ57" s="233"/>
      <c r="WSA57" s="231"/>
      <c r="WSB57" s="231"/>
      <c r="WSC57" s="229"/>
      <c r="WSD57" s="230"/>
      <c r="WSE57" s="231"/>
      <c r="WSF57" s="232"/>
      <c r="WSG57" s="233"/>
      <c r="WSH57" s="233"/>
      <c r="WSI57" s="233"/>
      <c r="WSJ57" s="233"/>
      <c r="WSK57" s="233"/>
      <c r="WSL57" s="233"/>
      <c r="WSM57" s="231"/>
      <c r="WSN57" s="231"/>
      <c r="WSO57" s="229"/>
      <c r="WSP57" s="230"/>
      <c r="WSQ57" s="231"/>
      <c r="WSR57" s="232"/>
      <c r="WSS57" s="233"/>
      <c r="WST57" s="233"/>
      <c r="WSU57" s="233"/>
      <c r="WSV57" s="233"/>
      <c r="WSW57" s="233"/>
      <c r="WSX57" s="233"/>
      <c r="WSY57" s="231"/>
      <c r="WSZ57" s="231"/>
      <c r="WTA57" s="229"/>
      <c r="WTB57" s="230"/>
      <c r="WTC57" s="231"/>
      <c r="WTD57" s="232"/>
      <c r="WTE57" s="233"/>
      <c r="WTF57" s="233"/>
      <c r="WTG57" s="233"/>
      <c r="WTH57" s="233"/>
      <c r="WTI57" s="233"/>
      <c r="WTJ57" s="233"/>
      <c r="WTK57" s="231"/>
      <c r="WTL57" s="231"/>
      <c r="WTM57" s="229"/>
      <c r="WTN57" s="230"/>
      <c r="WTO57" s="231"/>
      <c r="WTP57" s="232"/>
      <c r="WTQ57" s="233"/>
      <c r="WTR57" s="233"/>
      <c r="WTS57" s="233"/>
      <c r="WTT57" s="233"/>
      <c r="WTU57" s="233"/>
      <c r="WTV57" s="233"/>
      <c r="WTW57" s="231"/>
      <c r="WTX57" s="231"/>
      <c r="WTY57" s="229"/>
      <c r="WTZ57" s="230"/>
      <c r="WUA57" s="231"/>
      <c r="WUB57" s="232"/>
      <c r="WUC57" s="233"/>
      <c r="WUD57" s="233"/>
      <c r="WUE57" s="233"/>
      <c r="WUF57" s="233"/>
      <c r="WUG57" s="233"/>
      <c r="WUH57" s="233"/>
      <c r="WUI57" s="231"/>
      <c r="WUJ57" s="231"/>
      <c r="WUK57" s="229"/>
      <c r="WUL57" s="230"/>
      <c r="WUM57" s="231"/>
      <c r="WUN57" s="232"/>
      <c r="WUO57" s="233"/>
      <c r="WUP57" s="233"/>
      <c r="WUQ57" s="233"/>
      <c r="WUR57" s="233"/>
      <c r="WUS57" s="233"/>
      <c r="WUT57" s="233"/>
      <c r="WUU57" s="231"/>
      <c r="WUV57" s="231"/>
      <c r="WUW57" s="229"/>
      <c r="WUX57" s="230"/>
      <c r="WUY57" s="231"/>
      <c r="WUZ57" s="232"/>
      <c r="WVA57" s="233"/>
      <c r="WVB57" s="233"/>
      <c r="WVC57" s="233"/>
      <c r="WVD57" s="233"/>
      <c r="WVE57" s="233"/>
      <c r="WVF57" s="233"/>
      <c r="WVG57" s="231"/>
      <c r="WVH57" s="231"/>
      <c r="WVI57" s="229"/>
      <c r="WVJ57" s="230"/>
      <c r="WVK57" s="231"/>
      <c r="WVL57" s="232"/>
      <c r="WVM57" s="233"/>
      <c r="WVN57" s="233"/>
      <c r="WVO57" s="233"/>
      <c r="WVP57" s="233"/>
      <c r="WVQ57" s="233"/>
      <c r="WVR57" s="233"/>
      <c r="WVS57" s="231"/>
      <c r="WVT57" s="231"/>
      <c r="WVU57" s="229"/>
      <c r="WVV57" s="230"/>
      <c r="WVW57" s="231"/>
      <c r="WVX57" s="232"/>
      <c r="WVY57" s="233"/>
      <c r="WVZ57" s="233"/>
      <c r="WWA57" s="233"/>
      <c r="WWB57" s="233"/>
      <c r="WWC57" s="233"/>
      <c r="WWD57" s="233"/>
      <c r="WWE57" s="231"/>
      <c r="WWF57" s="231"/>
      <c r="WWG57" s="229"/>
      <c r="WWH57" s="230"/>
      <c r="WWI57" s="231"/>
      <c r="WWJ57" s="232"/>
      <c r="WWK57" s="233"/>
      <c r="WWL57" s="233"/>
      <c r="WWM57" s="233"/>
      <c r="WWN57" s="233"/>
      <c r="WWO57" s="233"/>
      <c r="WWP57" s="233"/>
      <c r="WWQ57" s="231"/>
      <c r="WWR57" s="231"/>
      <c r="WWS57" s="229"/>
      <c r="WWT57" s="230"/>
      <c r="WWU57" s="231"/>
      <c r="WWV57" s="232"/>
      <c r="WWW57" s="233"/>
      <c r="WWX57" s="233"/>
      <c r="WWY57" s="233"/>
      <c r="WWZ57" s="233"/>
      <c r="WXA57" s="233"/>
      <c r="WXB57" s="233"/>
      <c r="WXC57" s="231"/>
      <c r="WXD57" s="231"/>
      <c r="WXE57" s="229"/>
      <c r="WXF57" s="230"/>
      <c r="WXG57" s="231"/>
      <c r="WXH57" s="232"/>
      <c r="WXI57" s="233"/>
      <c r="WXJ57" s="233"/>
      <c r="WXK57" s="233"/>
      <c r="WXL57" s="233"/>
      <c r="WXM57" s="233"/>
      <c r="WXN57" s="233"/>
      <c r="WXO57" s="231"/>
      <c r="WXP57" s="231"/>
      <c r="WXQ57" s="229"/>
      <c r="WXR57" s="230"/>
      <c r="WXS57" s="231"/>
      <c r="WXT57" s="232"/>
      <c r="WXU57" s="233"/>
      <c r="WXV57" s="233"/>
      <c r="WXW57" s="233"/>
      <c r="WXX57" s="233"/>
      <c r="WXY57" s="233"/>
      <c r="WXZ57" s="233"/>
      <c r="WYA57" s="231"/>
      <c r="WYB57" s="231"/>
      <c r="WYC57" s="229"/>
      <c r="WYD57" s="230"/>
      <c r="WYE57" s="231"/>
      <c r="WYF57" s="232"/>
      <c r="WYG57" s="233"/>
      <c r="WYH57" s="233"/>
      <c r="WYI57" s="233"/>
      <c r="WYJ57" s="233"/>
      <c r="WYK57" s="233"/>
      <c r="WYL57" s="233"/>
      <c r="WYM57" s="231"/>
      <c r="WYN57" s="231"/>
      <c r="WYO57" s="229"/>
      <c r="WYP57" s="230"/>
      <c r="WYQ57" s="231"/>
      <c r="WYR57" s="232"/>
      <c r="WYS57" s="233"/>
      <c r="WYT57" s="233"/>
      <c r="WYU57" s="233"/>
      <c r="WYV57" s="233"/>
      <c r="WYW57" s="233"/>
      <c r="WYX57" s="233"/>
      <c r="WYY57" s="231"/>
      <c r="WYZ57" s="231"/>
      <c r="WZA57" s="229"/>
      <c r="WZB57" s="230"/>
      <c r="WZC57" s="231"/>
      <c r="WZD57" s="232"/>
      <c r="WZE57" s="233"/>
      <c r="WZF57" s="233"/>
      <c r="WZG57" s="233"/>
      <c r="WZH57" s="233"/>
      <c r="WZI57" s="233"/>
      <c r="WZJ57" s="233"/>
      <c r="WZK57" s="231"/>
      <c r="WZL57" s="231"/>
      <c r="WZM57" s="229"/>
      <c r="WZN57" s="230"/>
      <c r="WZO57" s="231"/>
      <c r="WZP57" s="232"/>
      <c r="WZQ57" s="233"/>
      <c r="WZR57" s="233"/>
      <c r="WZS57" s="233"/>
      <c r="WZT57" s="233"/>
      <c r="WZU57" s="233"/>
      <c r="WZV57" s="233"/>
      <c r="WZW57" s="231"/>
      <c r="WZX57" s="231"/>
      <c r="WZY57" s="229"/>
      <c r="WZZ57" s="230"/>
      <c r="XAA57" s="231"/>
      <c r="XAB57" s="232"/>
      <c r="XAC57" s="233"/>
      <c r="XAD57" s="233"/>
      <c r="XAE57" s="233"/>
      <c r="XAF57" s="233"/>
      <c r="XAG57" s="233"/>
      <c r="XAH57" s="233"/>
      <c r="XAI57" s="231"/>
      <c r="XAJ57" s="231"/>
      <c r="XAK57" s="229"/>
      <c r="XAL57" s="230"/>
      <c r="XAM57" s="231"/>
      <c r="XAN57" s="232"/>
      <c r="XAO57" s="233"/>
      <c r="XAP57" s="233"/>
      <c r="XAQ57" s="233"/>
      <c r="XAR57" s="233"/>
      <c r="XAS57" s="233"/>
      <c r="XAT57" s="233"/>
      <c r="XAU57" s="231"/>
      <c r="XAV57" s="231"/>
      <c r="XAW57" s="229"/>
      <c r="XAX57" s="230"/>
      <c r="XAY57" s="231"/>
      <c r="XAZ57" s="232"/>
      <c r="XBA57" s="233"/>
      <c r="XBB57" s="233"/>
      <c r="XBC57" s="233"/>
      <c r="XBD57" s="233"/>
      <c r="XBE57" s="233"/>
      <c r="XBF57" s="233"/>
      <c r="XBG57" s="231"/>
      <c r="XBH57" s="231"/>
      <c r="XBI57" s="229"/>
      <c r="XBJ57" s="230"/>
      <c r="XBK57" s="231"/>
      <c r="XBL57" s="232"/>
      <c r="XBM57" s="233"/>
      <c r="XBN57" s="233"/>
      <c r="XBO57" s="233"/>
      <c r="XBP57" s="233"/>
      <c r="XBQ57" s="233"/>
      <c r="XBR57" s="233"/>
      <c r="XBS57" s="231"/>
      <c r="XBT57" s="231"/>
      <c r="XBU57" s="229"/>
      <c r="XBV57" s="230"/>
      <c r="XBW57" s="231"/>
      <c r="XBX57" s="232"/>
      <c r="XBY57" s="233"/>
      <c r="XBZ57" s="233"/>
      <c r="XCA57" s="233"/>
      <c r="XCB57" s="233"/>
      <c r="XCC57" s="233"/>
      <c r="XCD57" s="233"/>
      <c r="XCE57" s="231"/>
      <c r="XCF57" s="231"/>
      <c r="XCG57" s="229"/>
      <c r="XCH57" s="230"/>
      <c r="XCI57" s="231"/>
      <c r="XCJ57" s="232"/>
      <c r="XCK57" s="233"/>
      <c r="XCL57" s="233"/>
      <c r="XCM57" s="233"/>
      <c r="XCN57" s="233"/>
      <c r="XCO57" s="233"/>
      <c r="XCP57" s="233"/>
      <c r="XCQ57" s="231"/>
      <c r="XCR57" s="231"/>
      <c r="XCS57" s="229"/>
      <c r="XCT57" s="230"/>
      <c r="XCU57" s="231"/>
      <c r="XCV57" s="232"/>
      <c r="XCW57" s="233"/>
      <c r="XCX57" s="233"/>
      <c r="XCY57" s="233"/>
      <c r="XCZ57" s="233"/>
      <c r="XDA57" s="233"/>
      <c r="XDB57" s="233"/>
      <c r="XDC57" s="231"/>
      <c r="XDD57" s="231"/>
      <c r="XDE57" s="229"/>
      <c r="XDF57" s="230"/>
      <c r="XDG57" s="231"/>
      <c r="XDH57" s="232"/>
      <c r="XDI57" s="233"/>
      <c r="XDJ57" s="233"/>
      <c r="XDK57" s="233"/>
      <c r="XDL57" s="233"/>
      <c r="XDM57" s="233"/>
      <c r="XDN57" s="233"/>
      <c r="XDO57" s="231"/>
      <c r="XDP57" s="231"/>
      <c r="XDQ57" s="229"/>
      <c r="XDR57" s="230"/>
      <c r="XDS57" s="231"/>
      <c r="XDT57" s="232"/>
      <c r="XDU57" s="233"/>
      <c r="XDV57" s="233"/>
      <c r="XDW57" s="233"/>
      <c r="XDX57" s="233"/>
      <c r="XDY57" s="233"/>
      <c r="XDZ57" s="233"/>
      <c r="XEA57" s="231"/>
      <c r="XEB57" s="231"/>
      <c r="XEC57" s="229"/>
      <c r="XED57" s="230"/>
      <c r="XEE57" s="231"/>
      <c r="XEF57" s="232"/>
      <c r="XEG57" s="233"/>
      <c r="XEH57" s="233"/>
      <c r="XEI57" s="233"/>
      <c r="XEJ57" s="233"/>
      <c r="XEK57" s="233"/>
      <c r="XEL57" s="233"/>
      <c r="XEM57" s="231"/>
      <c r="XEN57" s="231"/>
      <c r="XEO57" s="229"/>
      <c r="XEP57" s="230"/>
      <c r="XEQ57" s="231"/>
      <c r="XER57" s="232"/>
      <c r="XES57" s="233"/>
      <c r="XET57" s="233"/>
      <c r="XEU57" s="233"/>
      <c r="XEV57" s="233"/>
      <c r="XEW57" s="233"/>
      <c r="XEX57" s="233"/>
      <c r="XEY57" s="231"/>
      <c r="XEZ57" s="231"/>
      <c r="XFA57" s="229"/>
      <c r="XFB57" s="230"/>
      <c r="XFC57" s="231"/>
      <c r="XFD57" s="232"/>
    </row>
    <row r="58" spans="1:16384" s="381" customFormat="1" ht="38.6">
      <c r="A58" s="114" t="s">
        <v>223</v>
      </c>
      <c r="B58" s="1" t="s">
        <v>175</v>
      </c>
      <c r="C58" s="2" t="s">
        <v>176</v>
      </c>
      <c r="D58" s="108" t="s">
        <v>177</v>
      </c>
      <c r="E58" s="107" t="s">
        <v>0</v>
      </c>
      <c r="F58" s="1" t="s">
        <v>1</v>
      </c>
      <c r="G58" s="1" t="s">
        <v>2</v>
      </c>
      <c r="H58" s="1" t="s">
        <v>3</v>
      </c>
      <c r="I58" s="1" t="s">
        <v>4</v>
      </c>
      <c r="J58" s="1" t="s">
        <v>34</v>
      </c>
      <c r="K58" s="1" t="s">
        <v>5</v>
      </c>
      <c r="L58" s="237"/>
      <c r="N58" s="252"/>
    </row>
    <row r="59" spans="1:16384" s="381" customFormat="1">
      <c r="A59" s="268" t="s">
        <v>224</v>
      </c>
      <c r="B59" s="115" t="s">
        <v>182</v>
      </c>
      <c r="C59" s="116">
        <f>+FIRES!K62</f>
        <v>291.76959811263447</v>
      </c>
      <c r="D59" s="117">
        <f>+FIRES!K55</f>
        <v>312.2595</v>
      </c>
      <c r="E59" s="116">
        <f>ROUND(FIRES!G42*'Prep%Fuelspercentage.direct'!$B39,0)</f>
        <v>0</v>
      </c>
      <c r="F59" s="116">
        <f>+FIRES!K55</f>
        <v>312.2595</v>
      </c>
      <c r="G59" s="116">
        <f>ROUND(FIRES!I42*'Prep%Fuelspercentage.direct'!$B39,0)</f>
        <v>0</v>
      </c>
      <c r="H59" s="116">
        <f>ROUND(FIRES!J42*'Prep%Fuelspercentage.direct'!$B39,0)</f>
        <v>0</v>
      </c>
      <c r="I59" s="116">
        <f>ROUND(FIRES!K42*'Prep%Fuelspercentage.direct'!$B39,0)</f>
        <v>0</v>
      </c>
      <c r="J59" s="116">
        <f>ROUND(FIRES!L42*'Prep%Fuelspercentage.direct'!$B39,0)</f>
        <v>0</v>
      </c>
      <c r="K59" s="136">
        <f>SUM(E59:J59)</f>
        <v>312.2595</v>
      </c>
      <c r="L59" s="233">
        <f>(K59*-$M$2)+K59</f>
        <v>312.2595</v>
      </c>
      <c r="N59" s="252"/>
    </row>
    <row r="60" spans="1:16384" s="381" customFormat="1">
      <c r="A60" s="118" t="s">
        <v>212</v>
      </c>
      <c r="B60" s="119"/>
      <c r="C60" s="120"/>
      <c r="D60" s="121">
        <f>+FIRES!F47</f>
        <v>0</v>
      </c>
      <c r="E60" s="120">
        <f>ROUND(-FIRES!G46*'Prep%Fuelspercentage.direct'!$B39,0)</f>
        <v>0</v>
      </c>
      <c r="F60" s="120">
        <f>-FIRES!H55</f>
        <v>-181.11051</v>
      </c>
      <c r="G60" s="120">
        <f>-FIRES!I55</f>
        <v>-37.471139999999998</v>
      </c>
      <c r="H60" s="120">
        <f>-FIRES!J55</f>
        <v>-93.677850000000007</v>
      </c>
      <c r="I60" s="120">
        <f>ROUND(-FIRES!K46*'Prep%Fuelspercentage.direct'!$B39,0)</f>
        <v>0</v>
      </c>
      <c r="J60" s="120">
        <f>ROUND(-FIRES!L46*'Prep%Fuelspercentage.direct'!$B39,0)</f>
        <v>0</v>
      </c>
      <c r="K60" s="137">
        <f>SUM(E60:J60)</f>
        <v>-312.2595</v>
      </c>
      <c r="L60" s="238"/>
      <c r="N60" s="252"/>
    </row>
    <row r="61" spans="1:16384" s="381" customFormat="1">
      <c r="A61" s="268" t="s">
        <v>215</v>
      </c>
      <c r="B61" s="115" t="s">
        <v>216</v>
      </c>
      <c r="C61" s="116">
        <f>+'Misc and one-time - Fuels'!E38</f>
        <v>0</v>
      </c>
      <c r="D61" s="117">
        <f>+'Misc and one-time - Fuels'!F48</f>
        <v>75</v>
      </c>
      <c r="E61" s="116">
        <f>+'Misc and one-time - Fuels'!G38</f>
        <v>0</v>
      </c>
      <c r="F61" s="116">
        <f>+'Misc and one-time - Fuels'!H38</f>
        <v>0</v>
      </c>
      <c r="G61" s="116">
        <f>+'Misc and one-time - Fuels'!I38</f>
        <v>0</v>
      </c>
      <c r="H61" s="116">
        <f>+'Misc and one-time - Fuels'!J38</f>
        <v>0</v>
      </c>
      <c r="I61" s="116">
        <f>+'Misc and one-time - Fuels'!K38</f>
        <v>0</v>
      </c>
      <c r="J61" s="116">
        <f>+'Misc and one-time - Fuels'!L38</f>
        <v>75</v>
      </c>
      <c r="K61" s="136">
        <f>SUM(E61:J61)</f>
        <v>75</v>
      </c>
      <c r="L61" s="233">
        <f>(K61*-$M$2)+K61</f>
        <v>75</v>
      </c>
      <c r="N61" s="252"/>
    </row>
    <row r="62" spans="1:16384" s="381" customFormat="1">
      <c r="A62" s="118" t="s">
        <v>212</v>
      </c>
      <c r="B62" s="119"/>
      <c r="C62" s="120"/>
      <c r="D62" s="121">
        <f>+'Misc and one-time - Fuels'!E39</f>
        <v>0</v>
      </c>
      <c r="E62" s="120">
        <f>-'Misc and one-time - Fuels'!G48</f>
        <v>-55</v>
      </c>
      <c r="F62" s="120">
        <f>-'Misc and one-time - Fuels'!H48</f>
        <v>-10</v>
      </c>
      <c r="G62" s="120">
        <f>-'Misc and one-time - Fuels'!I48</f>
        <v>-5</v>
      </c>
      <c r="H62" s="120">
        <f>-'Misc and one-time - Fuels'!J48</f>
        <v>-5</v>
      </c>
      <c r="I62" s="120">
        <f>-'Misc and one-time - Fuels'!K48</f>
        <v>0</v>
      </c>
      <c r="J62" s="120">
        <f>-'Misc and one-time - Fuels'!L48</f>
        <v>0</v>
      </c>
      <c r="K62" s="137">
        <f>SUM(E62:J62)</f>
        <v>-75</v>
      </c>
      <c r="L62" s="238"/>
      <c r="N62" s="252"/>
    </row>
    <row r="63" spans="1:16384" s="381" customFormat="1">
      <c r="A63" s="139" t="s">
        <v>222</v>
      </c>
      <c r="B63" s="123"/>
      <c r="C63" s="126">
        <f t="shared" ref="C63:K63" si="16">SUM(C59:C62)</f>
        <v>291.76959811263447</v>
      </c>
      <c r="D63" s="110">
        <f t="shared" si="16"/>
        <v>387.2595</v>
      </c>
      <c r="E63" s="126">
        <f t="shared" si="16"/>
        <v>-55</v>
      </c>
      <c r="F63" s="126">
        <f t="shared" si="16"/>
        <v>121.14899</v>
      </c>
      <c r="G63" s="126">
        <f t="shared" si="16"/>
        <v>-42.471139999999998</v>
      </c>
      <c r="H63" s="126">
        <f t="shared" si="16"/>
        <v>-98.677850000000007</v>
      </c>
      <c r="I63" s="126">
        <f t="shared" si="16"/>
        <v>0</v>
      </c>
      <c r="J63" s="126">
        <f t="shared" si="16"/>
        <v>75</v>
      </c>
      <c r="K63" s="136">
        <f t="shared" si="16"/>
        <v>0</v>
      </c>
      <c r="L63" s="402"/>
      <c r="N63" s="252"/>
    </row>
    <row r="64" spans="1:16384" s="151" customFormat="1">
      <c r="A64" s="229" t="s">
        <v>197</v>
      </c>
      <c r="B64" s="230"/>
      <c r="C64" s="231"/>
      <c r="D64" s="232"/>
      <c r="E64" s="231">
        <f t="shared" ref="E64:J64" si="17">(E63*-$M$2)+E63</f>
        <v>-55</v>
      </c>
      <c r="F64" s="231">
        <f t="shared" si="17"/>
        <v>121.14899</v>
      </c>
      <c r="G64" s="231">
        <f t="shared" si="17"/>
        <v>-42.471139999999998</v>
      </c>
      <c r="H64" s="231">
        <f t="shared" si="17"/>
        <v>-98.677850000000007</v>
      </c>
      <c r="I64" s="231">
        <f t="shared" si="17"/>
        <v>0</v>
      </c>
      <c r="J64" s="231">
        <f t="shared" si="17"/>
        <v>75</v>
      </c>
      <c r="K64" s="233">
        <f>SUM(E64:J64)</f>
        <v>0</v>
      </c>
      <c r="L64" s="231"/>
      <c r="M64" s="399"/>
      <c r="N64" s="400"/>
      <c r="O64" s="401"/>
      <c r="P64" s="381"/>
      <c r="Q64" s="381"/>
      <c r="R64" s="381"/>
      <c r="S64" s="381"/>
      <c r="T64" s="381"/>
      <c r="U64" s="381"/>
      <c r="V64" s="381"/>
      <c r="W64" s="381"/>
      <c r="X64" s="231"/>
      <c r="Y64" s="229"/>
      <c r="Z64" s="230"/>
      <c r="AA64" s="231"/>
      <c r="AB64" s="232"/>
      <c r="AC64" s="233"/>
      <c r="AD64" s="233"/>
      <c r="AE64" s="233"/>
      <c r="AF64" s="233"/>
      <c r="AG64" s="233"/>
      <c r="AH64" s="233"/>
      <c r="AI64" s="231"/>
      <c r="AJ64" s="231"/>
      <c r="AK64" s="229"/>
      <c r="AL64" s="230"/>
      <c r="AM64" s="231"/>
      <c r="AN64" s="232"/>
      <c r="AO64" s="233"/>
      <c r="AP64" s="233"/>
      <c r="AQ64" s="233"/>
      <c r="AR64" s="233"/>
      <c r="AS64" s="233"/>
      <c r="AT64" s="233"/>
      <c r="AU64" s="231"/>
      <c r="AV64" s="231"/>
      <c r="AW64" s="229"/>
      <c r="AX64" s="230"/>
      <c r="AY64" s="231"/>
      <c r="AZ64" s="232"/>
      <c r="BA64" s="233"/>
      <c r="BB64" s="233"/>
      <c r="BC64" s="233"/>
      <c r="BD64" s="233"/>
      <c r="BE64" s="233"/>
      <c r="BF64" s="233"/>
      <c r="BG64" s="231"/>
      <c r="BH64" s="231"/>
      <c r="BI64" s="229"/>
      <c r="BJ64" s="230"/>
      <c r="BK64" s="231"/>
      <c r="BL64" s="232"/>
      <c r="BM64" s="233"/>
      <c r="BN64" s="233"/>
      <c r="BO64" s="233"/>
      <c r="BP64" s="233"/>
      <c r="BQ64" s="233"/>
      <c r="BR64" s="233"/>
      <c r="BS64" s="231"/>
      <c r="BT64" s="231"/>
      <c r="BU64" s="229"/>
      <c r="BV64" s="230"/>
      <c r="BW64" s="231"/>
      <c r="BX64" s="232"/>
      <c r="BY64" s="233"/>
      <c r="BZ64" s="233"/>
      <c r="CA64" s="233"/>
      <c r="CB64" s="233"/>
      <c r="CC64" s="233"/>
      <c r="CD64" s="233"/>
      <c r="CE64" s="231"/>
      <c r="CF64" s="231"/>
      <c r="CG64" s="229"/>
      <c r="CH64" s="230"/>
      <c r="CI64" s="231"/>
      <c r="CJ64" s="232"/>
      <c r="CK64" s="233"/>
      <c r="CL64" s="233"/>
      <c r="CM64" s="233"/>
      <c r="CN64" s="233"/>
      <c r="CO64" s="233"/>
      <c r="CP64" s="233"/>
      <c r="CQ64" s="231"/>
      <c r="CR64" s="231"/>
      <c r="CS64" s="229"/>
      <c r="CT64" s="230"/>
      <c r="CU64" s="231"/>
      <c r="CV64" s="232"/>
      <c r="CW64" s="233"/>
      <c r="CX64" s="233"/>
      <c r="CY64" s="233"/>
      <c r="CZ64" s="233"/>
      <c r="DA64" s="233"/>
      <c r="DB64" s="233"/>
      <c r="DC64" s="231"/>
      <c r="DD64" s="231"/>
      <c r="DE64" s="229"/>
      <c r="DF64" s="230"/>
      <c r="DG64" s="231"/>
      <c r="DH64" s="232"/>
      <c r="DI64" s="233"/>
      <c r="DJ64" s="233"/>
      <c r="DK64" s="233"/>
      <c r="DL64" s="233"/>
      <c r="DM64" s="233"/>
      <c r="DN64" s="233"/>
      <c r="DO64" s="231"/>
      <c r="DP64" s="231"/>
      <c r="DQ64" s="229"/>
      <c r="DR64" s="230"/>
      <c r="DS64" s="231"/>
      <c r="DT64" s="232"/>
      <c r="DU64" s="233"/>
      <c r="DV64" s="233"/>
      <c r="DW64" s="233"/>
      <c r="DX64" s="233"/>
      <c r="DY64" s="233"/>
      <c r="DZ64" s="233"/>
      <c r="EA64" s="231"/>
      <c r="EB64" s="231"/>
      <c r="EC64" s="229"/>
      <c r="ED64" s="230"/>
      <c r="EE64" s="231"/>
      <c r="EF64" s="232"/>
      <c r="EG64" s="233"/>
      <c r="EH64" s="233"/>
      <c r="EI64" s="233"/>
      <c r="EJ64" s="233"/>
      <c r="EK64" s="233"/>
      <c r="EL64" s="233"/>
      <c r="EM64" s="231"/>
      <c r="EN64" s="231"/>
      <c r="EO64" s="229"/>
      <c r="EP64" s="230"/>
      <c r="EQ64" s="231"/>
      <c r="ER64" s="232"/>
      <c r="ES64" s="233"/>
      <c r="ET64" s="233"/>
      <c r="EU64" s="233"/>
      <c r="EV64" s="233"/>
      <c r="EW64" s="233"/>
      <c r="EX64" s="233"/>
      <c r="EY64" s="231"/>
      <c r="EZ64" s="231"/>
      <c r="FA64" s="229"/>
      <c r="FB64" s="230"/>
      <c r="FC64" s="231"/>
      <c r="FD64" s="232"/>
      <c r="FE64" s="233"/>
      <c r="FF64" s="233"/>
      <c r="FG64" s="233"/>
      <c r="FH64" s="233"/>
      <c r="FI64" s="233"/>
      <c r="FJ64" s="233"/>
      <c r="FK64" s="231"/>
      <c r="FL64" s="231"/>
      <c r="FM64" s="229"/>
      <c r="FN64" s="230"/>
      <c r="FO64" s="231"/>
      <c r="FP64" s="232"/>
      <c r="FQ64" s="233"/>
      <c r="FR64" s="233"/>
      <c r="FS64" s="233"/>
      <c r="FT64" s="233"/>
      <c r="FU64" s="233"/>
      <c r="FV64" s="233"/>
      <c r="FW64" s="231"/>
      <c r="FX64" s="231"/>
      <c r="FY64" s="229"/>
      <c r="FZ64" s="230"/>
      <c r="GA64" s="231"/>
      <c r="GB64" s="232"/>
      <c r="GC64" s="233"/>
      <c r="GD64" s="233"/>
      <c r="GE64" s="233"/>
      <c r="GF64" s="233"/>
      <c r="GG64" s="233"/>
      <c r="GH64" s="233"/>
      <c r="GI64" s="231"/>
      <c r="GJ64" s="231"/>
      <c r="GK64" s="229"/>
      <c r="GL64" s="230"/>
      <c r="GM64" s="231"/>
      <c r="GN64" s="232"/>
      <c r="GO64" s="233"/>
      <c r="GP64" s="233"/>
      <c r="GQ64" s="233"/>
      <c r="GR64" s="233"/>
      <c r="GS64" s="233"/>
      <c r="GT64" s="233"/>
      <c r="GU64" s="231"/>
      <c r="GV64" s="231"/>
      <c r="GW64" s="229"/>
      <c r="GX64" s="230"/>
      <c r="GY64" s="231"/>
      <c r="GZ64" s="232"/>
      <c r="HA64" s="233"/>
      <c r="HB64" s="233"/>
      <c r="HC64" s="233"/>
      <c r="HD64" s="233"/>
      <c r="HE64" s="233"/>
      <c r="HF64" s="233"/>
      <c r="HG64" s="231"/>
      <c r="HH64" s="231"/>
      <c r="HI64" s="229"/>
      <c r="HJ64" s="230"/>
      <c r="HK64" s="231"/>
      <c r="HL64" s="232"/>
      <c r="HM64" s="233"/>
      <c r="HN64" s="233"/>
      <c r="HO64" s="233"/>
      <c r="HP64" s="233"/>
      <c r="HQ64" s="233"/>
      <c r="HR64" s="233"/>
      <c r="HS64" s="231"/>
      <c r="HT64" s="231"/>
      <c r="HU64" s="229"/>
      <c r="HV64" s="230"/>
      <c r="HW64" s="231"/>
      <c r="HX64" s="232"/>
      <c r="HY64" s="233"/>
      <c r="HZ64" s="233"/>
      <c r="IA64" s="233"/>
      <c r="IB64" s="233"/>
      <c r="IC64" s="233"/>
      <c r="ID64" s="233"/>
      <c r="IE64" s="231"/>
      <c r="IF64" s="231"/>
      <c r="IG64" s="229"/>
      <c r="IH64" s="230"/>
      <c r="II64" s="231"/>
      <c r="IJ64" s="232"/>
      <c r="IK64" s="233"/>
      <c r="IL64" s="233"/>
      <c r="IM64" s="233"/>
      <c r="IN64" s="233"/>
      <c r="IO64" s="233"/>
      <c r="IP64" s="233"/>
      <c r="IQ64" s="231"/>
      <c r="IR64" s="231"/>
      <c r="IS64" s="229"/>
      <c r="IT64" s="230"/>
      <c r="IU64" s="231"/>
      <c r="IV64" s="232"/>
      <c r="IW64" s="233"/>
      <c r="IX64" s="233"/>
      <c r="IY64" s="233"/>
      <c r="IZ64" s="233"/>
      <c r="JA64" s="233"/>
      <c r="JB64" s="233"/>
      <c r="JC64" s="231"/>
      <c r="JD64" s="231"/>
      <c r="JE64" s="229"/>
      <c r="JF64" s="230"/>
      <c r="JG64" s="231"/>
      <c r="JH64" s="232"/>
      <c r="JI64" s="233"/>
      <c r="JJ64" s="233"/>
      <c r="JK64" s="233"/>
      <c r="JL64" s="233"/>
      <c r="JM64" s="233"/>
      <c r="JN64" s="233"/>
      <c r="JO64" s="231"/>
      <c r="JP64" s="231"/>
      <c r="JQ64" s="229"/>
      <c r="JR64" s="230"/>
      <c r="JS64" s="231"/>
      <c r="JT64" s="232"/>
      <c r="JU64" s="233"/>
      <c r="JV64" s="233"/>
      <c r="JW64" s="233"/>
      <c r="JX64" s="233"/>
      <c r="JY64" s="233"/>
      <c r="JZ64" s="233"/>
      <c r="KA64" s="231"/>
      <c r="KB64" s="231"/>
      <c r="KC64" s="229"/>
      <c r="KD64" s="230"/>
      <c r="KE64" s="231"/>
      <c r="KF64" s="232"/>
      <c r="KG64" s="233"/>
      <c r="KH64" s="233"/>
      <c r="KI64" s="233"/>
      <c r="KJ64" s="233"/>
      <c r="KK64" s="233"/>
      <c r="KL64" s="233"/>
      <c r="KM64" s="231"/>
      <c r="KN64" s="231"/>
      <c r="KO64" s="229"/>
      <c r="KP64" s="230"/>
      <c r="KQ64" s="231"/>
      <c r="KR64" s="232"/>
      <c r="KS64" s="233"/>
      <c r="KT64" s="233"/>
      <c r="KU64" s="233"/>
      <c r="KV64" s="233"/>
      <c r="KW64" s="233"/>
      <c r="KX64" s="233"/>
      <c r="KY64" s="231"/>
      <c r="KZ64" s="231"/>
      <c r="LA64" s="229"/>
      <c r="LB64" s="230"/>
      <c r="LC64" s="231"/>
      <c r="LD64" s="232"/>
      <c r="LE64" s="233"/>
      <c r="LF64" s="233"/>
      <c r="LG64" s="233"/>
      <c r="LH64" s="233"/>
      <c r="LI64" s="233"/>
      <c r="LJ64" s="233"/>
      <c r="LK64" s="231"/>
      <c r="LL64" s="231"/>
      <c r="LM64" s="229"/>
      <c r="LN64" s="230"/>
      <c r="LO64" s="231"/>
      <c r="LP64" s="232"/>
      <c r="LQ64" s="233"/>
      <c r="LR64" s="233"/>
      <c r="LS64" s="233"/>
      <c r="LT64" s="233"/>
      <c r="LU64" s="233"/>
      <c r="LV64" s="233"/>
      <c r="LW64" s="231"/>
      <c r="LX64" s="231"/>
      <c r="LY64" s="229"/>
      <c r="LZ64" s="230"/>
      <c r="MA64" s="231"/>
      <c r="MB64" s="232"/>
      <c r="MC64" s="233"/>
      <c r="MD64" s="233"/>
      <c r="ME64" s="233"/>
      <c r="MF64" s="233"/>
      <c r="MG64" s="233"/>
      <c r="MH64" s="233"/>
      <c r="MI64" s="231"/>
      <c r="MJ64" s="231"/>
      <c r="MK64" s="229"/>
      <c r="ML64" s="230"/>
      <c r="MM64" s="231"/>
      <c r="MN64" s="232"/>
      <c r="MO64" s="233"/>
      <c r="MP64" s="233"/>
      <c r="MQ64" s="233"/>
      <c r="MR64" s="233"/>
      <c r="MS64" s="233"/>
      <c r="MT64" s="233"/>
      <c r="MU64" s="231"/>
      <c r="MV64" s="231"/>
      <c r="MW64" s="229"/>
      <c r="MX64" s="230"/>
      <c r="MY64" s="231"/>
      <c r="MZ64" s="232"/>
      <c r="NA64" s="233"/>
      <c r="NB64" s="233"/>
      <c r="NC64" s="233"/>
      <c r="ND64" s="233"/>
      <c r="NE64" s="233"/>
      <c r="NF64" s="233"/>
      <c r="NG64" s="231"/>
      <c r="NH64" s="231"/>
      <c r="NI64" s="229"/>
      <c r="NJ64" s="230"/>
      <c r="NK64" s="231"/>
      <c r="NL64" s="232"/>
      <c r="NM64" s="233"/>
      <c r="NN64" s="233"/>
      <c r="NO64" s="233"/>
      <c r="NP64" s="233"/>
      <c r="NQ64" s="233"/>
      <c r="NR64" s="233"/>
      <c r="NS64" s="231"/>
      <c r="NT64" s="231"/>
      <c r="NU64" s="229"/>
      <c r="NV64" s="230"/>
      <c r="NW64" s="231"/>
      <c r="NX64" s="232"/>
      <c r="NY64" s="233"/>
      <c r="NZ64" s="233"/>
      <c r="OA64" s="233"/>
      <c r="OB64" s="233"/>
      <c r="OC64" s="233"/>
      <c r="OD64" s="233"/>
      <c r="OE64" s="231"/>
      <c r="OF64" s="231"/>
      <c r="OG64" s="229"/>
      <c r="OH64" s="230"/>
      <c r="OI64" s="231"/>
      <c r="OJ64" s="232"/>
      <c r="OK64" s="233"/>
      <c r="OL64" s="233"/>
      <c r="OM64" s="233"/>
      <c r="ON64" s="233"/>
      <c r="OO64" s="233"/>
      <c r="OP64" s="233"/>
      <c r="OQ64" s="231"/>
      <c r="OR64" s="231"/>
      <c r="OS64" s="229"/>
      <c r="OT64" s="230"/>
      <c r="OU64" s="231"/>
      <c r="OV64" s="232"/>
      <c r="OW64" s="233"/>
      <c r="OX64" s="233"/>
      <c r="OY64" s="233"/>
      <c r="OZ64" s="233"/>
      <c r="PA64" s="233"/>
      <c r="PB64" s="233"/>
      <c r="PC64" s="231"/>
      <c r="PD64" s="231"/>
      <c r="PE64" s="229"/>
      <c r="PF64" s="230"/>
      <c r="PG64" s="231"/>
      <c r="PH64" s="232"/>
      <c r="PI64" s="233"/>
      <c r="PJ64" s="233"/>
      <c r="PK64" s="233"/>
      <c r="PL64" s="233"/>
      <c r="PM64" s="233"/>
      <c r="PN64" s="233"/>
      <c r="PO64" s="231"/>
      <c r="PP64" s="231"/>
      <c r="PQ64" s="229"/>
      <c r="PR64" s="230"/>
      <c r="PS64" s="231"/>
      <c r="PT64" s="232"/>
      <c r="PU64" s="233"/>
      <c r="PV64" s="233"/>
      <c r="PW64" s="233"/>
      <c r="PX64" s="233"/>
      <c r="PY64" s="233"/>
      <c r="PZ64" s="233"/>
      <c r="QA64" s="231"/>
      <c r="QB64" s="231"/>
      <c r="QC64" s="229"/>
      <c r="QD64" s="230"/>
      <c r="QE64" s="231"/>
      <c r="QF64" s="232"/>
      <c r="QG64" s="233"/>
      <c r="QH64" s="233"/>
      <c r="QI64" s="233"/>
      <c r="QJ64" s="233"/>
      <c r="QK64" s="233"/>
      <c r="QL64" s="233"/>
      <c r="QM64" s="231"/>
      <c r="QN64" s="231"/>
      <c r="QO64" s="229"/>
      <c r="QP64" s="230"/>
      <c r="QQ64" s="231"/>
      <c r="QR64" s="232"/>
      <c r="QS64" s="233"/>
      <c r="QT64" s="233"/>
      <c r="QU64" s="233"/>
      <c r="QV64" s="233"/>
      <c r="QW64" s="233"/>
      <c r="QX64" s="233"/>
      <c r="QY64" s="231"/>
      <c r="QZ64" s="231"/>
      <c r="RA64" s="229"/>
      <c r="RB64" s="230"/>
      <c r="RC64" s="231"/>
      <c r="RD64" s="232"/>
      <c r="RE64" s="233"/>
      <c r="RF64" s="233"/>
      <c r="RG64" s="233"/>
      <c r="RH64" s="233"/>
      <c r="RI64" s="233"/>
      <c r="RJ64" s="233"/>
      <c r="RK64" s="231"/>
      <c r="RL64" s="231"/>
      <c r="RM64" s="229"/>
      <c r="RN64" s="230"/>
      <c r="RO64" s="231"/>
      <c r="RP64" s="232"/>
      <c r="RQ64" s="233"/>
      <c r="RR64" s="233"/>
      <c r="RS64" s="233"/>
      <c r="RT64" s="233"/>
      <c r="RU64" s="233"/>
      <c r="RV64" s="233"/>
      <c r="RW64" s="231"/>
      <c r="RX64" s="231"/>
      <c r="RY64" s="229"/>
      <c r="RZ64" s="230"/>
      <c r="SA64" s="231"/>
      <c r="SB64" s="232"/>
      <c r="SC64" s="233"/>
      <c r="SD64" s="233"/>
      <c r="SE64" s="233"/>
      <c r="SF64" s="233"/>
      <c r="SG64" s="233"/>
      <c r="SH64" s="233"/>
      <c r="SI64" s="231"/>
      <c r="SJ64" s="231"/>
      <c r="SK64" s="229"/>
      <c r="SL64" s="230"/>
      <c r="SM64" s="231"/>
      <c r="SN64" s="232"/>
      <c r="SO64" s="233"/>
      <c r="SP64" s="233"/>
      <c r="SQ64" s="233"/>
      <c r="SR64" s="233"/>
      <c r="SS64" s="233"/>
      <c r="ST64" s="233"/>
      <c r="SU64" s="231"/>
      <c r="SV64" s="231"/>
      <c r="SW64" s="229"/>
      <c r="SX64" s="230"/>
      <c r="SY64" s="231"/>
      <c r="SZ64" s="232"/>
      <c r="TA64" s="233"/>
      <c r="TB64" s="233"/>
      <c r="TC64" s="233"/>
      <c r="TD64" s="233"/>
      <c r="TE64" s="233"/>
      <c r="TF64" s="233"/>
      <c r="TG64" s="231"/>
      <c r="TH64" s="231"/>
      <c r="TI64" s="229"/>
      <c r="TJ64" s="230"/>
      <c r="TK64" s="231"/>
      <c r="TL64" s="232"/>
      <c r="TM64" s="233"/>
      <c r="TN64" s="233"/>
      <c r="TO64" s="233"/>
      <c r="TP64" s="233"/>
      <c r="TQ64" s="233"/>
      <c r="TR64" s="233"/>
      <c r="TS64" s="231"/>
      <c r="TT64" s="231"/>
      <c r="TU64" s="229"/>
      <c r="TV64" s="230"/>
      <c r="TW64" s="231"/>
      <c r="TX64" s="232"/>
      <c r="TY64" s="233"/>
      <c r="TZ64" s="233"/>
      <c r="UA64" s="233"/>
      <c r="UB64" s="233"/>
      <c r="UC64" s="233"/>
      <c r="UD64" s="233"/>
      <c r="UE64" s="231"/>
      <c r="UF64" s="231"/>
      <c r="UG64" s="229"/>
      <c r="UH64" s="230"/>
      <c r="UI64" s="231"/>
      <c r="UJ64" s="232"/>
      <c r="UK64" s="233"/>
      <c r="UL64" s="233"/>
      <c r="UM64" s="233"/>
      <c r="UN64" s="233"/>
      <c r="UO64" s="233"/>
      <c r="UP64" s="233"/>
      <c r="UQ64" s="231"/>
      <c r="UR64" s="231"/>
      <c r="US64" s="229"/>
      <c r="UT64" s="230"/>
      <c r="UU64" s="231"/>
      <c r="UV64" s="232"/>
      <c r="UW64" s="233"/>
      <c r="UX64" s="233"/>
      <c r="UY64" s="233"/>
      <c r="UZ64" s="233"/>
      <c r="VA64" s="233"/>
      <c r="VB64" s="233"/>
      <c r="VC64" s="231"/>
      <c r="VD64" s="231"/>
      <c r="VE64" s="229"/>
      <c r="VF64" s="230"/>
      <c r="VG64" s="231"/>
      <c r="VH64" s="232"/>
      <c r="VI64" s="233"/>
      <c r="VJ64" s="233"/>
      <c r="VK64" s="233"/>
      <c r="VL64" s="233"/>
      <c r="VM64" s="233"/>
      <c r="VN64" s="233"/>
      <c r="VO64" s="231"/>
      <c r="VP64" s="231"/>
      <c r="VQ64" s="229"/>
      <c r="VR64" s="230"/>
      <c r="VS64" s="231"/>
      <c r="VT64" s="232"/>
      <c r="VU64" s="233"/>
      <c r="VV64" s="233"/>
      <c r="VW64" s="233"/>
      <c r="VX64" s="233"/>
      <c r="VY64" s="233"/>
      <c r="VZ64" s="233"/>
      <c r="WA64" s="231"/>
      <c r="WB64" s="231"/>
      <c r="WC64" s="229"/>
      <c r="WD64" s="230"/>
      <c r="WE64" s="231"/>
      <c r="WF64" s="232"/>
      <c r="WG64" s="233"/>
      <c r="WH64" s="233"/>
      <c r="WI64" s="233"/>
      <c r="WJ64" s="233"/>
      <c r="WK64" s="233"/>
      <c r="WL64" s="233"/>
      <c r="WM64" s="231"/>
      <c r="WN64" s="231"/>
      <c r="WO64" s="229"/>
      <c r="WP64" s="230"/>
      <c r="WQ64" s="231"/>
      <c r="WR64" s="232"/>
      <c r="WS64" s="233"/>
      <c r="WT64" s="233"/>
      <c r="WU64" s="233"/>
      <c r="WV64" s="233"/>
      <c r="WW64" s="233"/>
      <c r="WX64" s="233"/>
      <c r="WY64" s="231"/>
      <c r="WZ64" s="231"/>
      <c r="XA64" s="229"/>
      <c r="XB64" s="230"/>
      <c r="XC64" s="231"/>
      <c r="XD64" s="232"/>
      <c r="XE64" s="233"/>
      <c r="XF64" s="233"/>
      <c r="XG64" s="233"/>
      <c r="XH64" s="233"/>
      <c r="XI64" s="233"/>
      <c r="XJ64" s="233"/>
      <c r="XK64" s="231"/>
      <c r="XL64" s="231"/>
      <c r="XM64" s="229"/>
      <c r="XN64" s="230"/>
      <c r="XO64" s="231"/>
      <c r="XP64" s="232"/>
      <c r="XQ64" s="233"/>
      <c r="XR64" s="233"/>
      <c r="XS64" s="233"/>
      <c r="XT64" s="233"/>
      <c r="XU64" s="233"/>
      <c r="XV64" s="233"/>
      <c r="XW64" s="231"/>
      <c r="XX64" s="231"/>
      <c r="XY64" s="229"/>
      <c r="XZ64" s="230"/>
      <c r="YA64" s="231"/>
      <c r="YB64" s="232"/>
      <c r="YC64" s="233"/>
      <c r="YD64" s="233"/>
      <c r="YE64" s="233"/>
      <c r="YF64" s="233"/>
      <c r="YG64" s="233"/>
      <c r="YH64" s="233"/>
      <c r="YI64" s="231"/>
      <c r="YJ64" s="231"/>
      <c r="YK64" s="229"/>
      <c r="YL64" s="230"/>
      <c r="YM64" s="231"/>
      <c r="YN64" s="232"/>
      <c r="YO64" s="233"/>
      <c r="YP64" s="233"/>
      <c r="YQ64" s="233"/>
      <c r="YR64" s="233"/>
      <c r="YS64" s="233"/>
      <c r="YT64" s="233"/>
      <c r="YU64" s="231"/>
      <c r="YV64" s="231"/>
      <c r="YW64" s="229"/>
      <c r="YX64" s="230"/>
      <c r="YY64" s="231"/>
      <c r="YZ64" s="232"/>
      <c r="ZA64" s="233"/>
      <c r="ZB64" s="233"/>
      <c r="ZC64" s="233"/>
      <c r="ZD64" s="233"/>
      <c r="ZE64" s="233"/>
      <c r="ZF64" s="233"/>
      <c r="ZG64" s="231"/>
      <c r="ZH64" s="231"/>
      <c r="ZI64" s="229"/>
      <c r="ZJ64" s="230"/>
      <c r="ZK64" s="231"/>
      <c r="ZL64" s="232"/>
      <c r="ZM64" s="233"/>
      <c r="ZN64" s="233"/>
      <c r="ZO64" s="233"/>
      <c r="ZP64" s="233"/>
      <c r="ZQ64" s="233"/>
      <c r="ZR64" s="233"/>
      <c r="ZS64" s="231"/>
      <c r="ZT64" s="231"/>
      <c r="ZU64" s="229"/>
      <c r="ZV64" s="230"/>
      <c r="ZW64" s="231"/>
      <c r="ZX64" s="232"/>
      <c r="ZY64" s="233"/>
      <c r="ZZ64" s="233"/>
      <c r="AAA64" s="233"/>
      <c r="AAB64" s="233"/>
      <c r="AAC64" s="233"/>
      <c r="AAD64" s="233"/>
      <c r="AAE64" s="231"/>
      <c r="AAF64" s="231"/>
      <c r="AAG64" s="229"/>
      <c r="AAH64" s="230"/>
      <c r="AAI64" s="231"/>
      <c r="AAJ64" s="232"/>
      <c r="AAK64" s="233"/>
      <c r="AAL64" s="233"/>
      <c r="AAM64" s="233"/>
      <c r="AAN64" s="233"/>
      <c r="AAO64" s="233"/>
      <c r="AAP64" s="233"/>
      <c r="AAQ64" s="231"/>
      <c r="AAR64" s="231"/>
      <c r="AAS64" s="229"/>
      <c r="AAT64" s="230"/>
      <c r="AAU64" s="231"/>
      <c r="AAV64" s="232"/>
      <c r="AAW64" s="233"/>
      <c r="AAX64" s="233"/>
      <c r="AAY64" s="233"/>
      <c r="AAZ64" s="233"/>
      <c r="ABA64" s="233"/>
      <c r="ABB64" s="233"/>
      <c r="ABC64" s="231"/>
      <c r="ABD64" s="231"/>
      <c r="ABE64" s="229"/>
      <c r="ABF64" s="230"/>
      <c r="ABG64" s="231"/>
      <c r="ABH64" s="232"/>
      <c r="ABI64" s="233"/>
      <c r="ABJ64" s="233"/>
      <c r="ABK64" s="233"/>
      <c r="ABL64" s="233"/>
      <c r="ABM64" s="233"/>
      <c r="ABN64" s="233"/>
      <c r="ABO64" s="231"/>
      <c r="ABP64" s="231"/>
      <c r="ABQ64" s="229"/>
      <c r="ABR64" s="230"/>
      <c r="ABS64" s="231"/>
      <c r="ABT64" s="232"/>
      <c r="ABU64" s="233"/>
      <c r="ABV64" s="233"/>
      <c r="ABW64" s="233"/>
      <c r="ABX64" s="233"/>
      <c r="ABY64" s="233"/>
      <c r="ABZ64" s="233"/>
      <c r="ACA64" s="231"/>
      <c r="ACB64" s="231"/>
      <c r="ACC64" s="229"/>
      <c r="ACD64" s="230"/>
      <c r="ACE64" s="231"/>
      <c r="ACF64" s="232"/>
      <c r="ACG64" s="233"/>
      <c r="ACH64" s="233"/>
      <c r="ACI64" s="233"/>
      <c r="ACJ64" s="233"/>
      <c r="ACK64" s="233"/>
      <c r="ACL64" s="233"/>
      <c r="ACM64" s="231"/>
      <c r="ACN64" s="231"/>
      <c r="ACO64" s="229"/>
      <c r="ACP64" s="230"/>
      <c r="ACQ64" s="231"/>
      <c r="ACR64" s="232"/>
      <c r="ACS64" s="233"/>
      <c r="ACT64" s="233"/>
      <c r="ACU64" s="233"/>
      <c r="ACV64" s="233"/>
      <c r="ACW64" s="233"/>
      <c r="ACX64" s="233"/>
      <c r="ACY64" s="231"/>
      <c r="ACZ64" s="231"/>
      <c r="ADA64" s="229"/>
      <c r="ADB64" s="230"/>
      <c r="ADC64" s="231"/>
      <c r="ADD64" s="232"/>
      <c r="ADE64" s="233"/>
      <c r="ADF64" s="233"/>
      <c r="ADG64" s="233"/>
      <c r="ADH64" s="233"/>
      <c r="ADI64" s="233"/>
      <c r="ADJ64" s="233"/>
      <c r="ADK64" s="231"/>
      <c r="ADL64" s="231"/>
      <c r="ADM64" s="229"/>
      <c r="ADN64" s="230"/>
      <c r="ADO64" s="231"/>
      <c r="ADP64" s="232"/>
      <c r="ADQ64" s="233"/>
      <c r="ADR64" s="233"/>
      <c r="ADS64" s="233"/>
      <c r="ADT64" s="233"/>
      <c r="ADU64" s="233"/>
      <c r="ADV64" s="233"/>
      <c r="ADW64" s="231"/>
      <c r="ADX64" s="231"/>
      <c r="ADY64" s="229"/>
      <c r="ADZ64" s="230"/>
      <c r="AEA64" s="231"/>
      <c r="AEB64" s="232"/>
      <c r="AEC64" s="233"/>
      <c r="AED64" s="233"/>
      <c r="AEE64" s="233"/>
      <c r="AEF64" s="233"/>
      <c r="AEG64" s="233"/>
      <c r="AEH64" s="233"/>
      <c r="AEI64" s="231"/>
      <c r="AEJ64" s="231"/>
      <c r="AEK64" s="229"/>
      <c r="AEL64" s="230"/>
      <c r="AEM64" s="231"/>
      <c r="AEN64" s="232"/>
      <c r="AEO64" s="233"/>
      <c r="AEP64" s="233"/>
      <c r="AEQ64" s="233"/>
      <c r="AER64" s="233"/>
      <c r="AES64" s="233"/>
      <c r="AET64" s="233"/>
      <c r="AEU64" s="231"/>
      <c r="AEV64" s="231"/>
      <c r="AEW64" s="229"/>
      <c r="AEX64" s="230"/>
      <c r="AEY64" s="231"/>
      <c r="AEZ64" s="232"/>
      <c r="AFA64" s="233"/>
      <c r="AFB64" s="233"/>
      <c r="AFC64" s="233"/>
      <c r="AFD64" s="233"/>
      <c r="AFE64" s="233"/>
      <c r="AFF64" s="233"/>
      <c r="AFG64" s="231"/>
      <c r="AFH64" s="231"/>
      <c r="AFI64" s="229"/>
      <c r="AFJ64" s="230"/>
      <c r="AFK64" s="231"/>
      <c r="AFL64" s="232"/>
      <c r="AFM64" s="233"/>
      <c r="AFN64" s="233"/>
      <c r="AFO64" s="233"/>
      <c r="AFP64" s="233"/>
      <c r="AFQ64" s="233"/>
      <c r="AFR64" s="233"/>
      <c r="AFS64" s="231"/>
      <c r="AFT64" s="231"/>
      <c r="AFU64" s="229"/>
      <c r="AFV64" s="230"/>
      <c r="AFW64" s="231"/>
      <c r="AFX64" s="232"/>
      <c r="AFY64" s="233"/>
      <c r="AFZ64" s="233"/>
      <c r="AGA64" s="233"/>
      <c r="AGB64" s="233"/>
      <c r="AGC64" s="233"/>
      <c r="AGD64" s="233"/>
      <c r="AGE64" s="231"/>
      <c r="AGF64" s="231"/>
      <c r="AGG64" s="229"/>
      <c r="AGH64" s="230"/>
      <c r="AGI64" s="231"/>
      <c r="AGJ64" s="232"/>
      <c r="AGK64" s="233"/>
      <c r="AGL64" s="233"/>
      <c r="AGM64" s="233"/>
      <c r="AGN64" s="233"/>
      <c r="AGO64" s="233"/>
      <c r="AGP64" s="233"/>
      <c r="AGQ64" s="231"/>
      <c r="AGR64" s="231"/>
      <c r="AGS64" s="229"/>
      <c r="AGT64" s="230"/>
      <c r="AGU64" s="231"/>
      <c r="AGV64" s="232"/>
      <c r="AGW64" s="233"/>
      <c r="AGX64" s="233"/>
      <c r="AGY64" s="233"/>
      <c r="AGZ64" s="233"/>
      <c r="AHA64" s="233"/>
      <c r="AHB64" s="233"/>
      <c r="AHC64" s="231"/>
      <c r="AHD64" s="231"/>
      <c r="AHE64" s="229"/>
      <c r="AHF64" s="230"/>
      <c r="AHG64" s="231"/>
      <c r="AHH64" s="232"/>
      <c r="AHI64" s="233"/>
      <c r="AHJ64" s="233"/>
      <c r="AHK64" s="233"/>
      <c r="AHL64" s="233"/>
      <c r="AHM64" s="233"/>
      <c r="AHN64" s="233"/>
      <c r="AHO64" s="231"/>
      <c r="AHP64" s="231"/>
      <c r="AHQ64" s="229"/>
      <c r="AHR64" s="230"/>
      <c r="AHS64" s="231"/>
      <c r="AHT64" s="232"/>
      <c r="AHU64" s="233"/>
      <c r="AHV64" s="233"/>
      <c r="AHW64" s="233"/>
      <c r="AHX64" s="233"/>
      <c r="AHY64" s="233"/>
      <c r="AHZ64" s="233"/>
      <c r="AIA64" s="231"/>
      <c r="AIB64" s="231"/>
      <c r="AIC64" s="229"/>
      <c r="AID64" s="230"/>
      <c r="AIE64" s="231"/>
      <c r="AIF64" s="232"/>
      <c r="AIG64" s="233"/>
      <c r="AIH64" s="233"/>
      <c r="AII64" s="233"/>
      <c r="AIJ64" s="233"/>
      <c r="AIK64" s="233"/>
      <c r="AIL64" s="233"/>
      <c r="AIM64" s="231"/>
      <c r="AIN64" s="231"/>
      <c r="AIO64" s="229"/>
      <c r="AIP64" s="230"/>
      <c r="AIQ64" s="231"/>
      <c r="AIR64" s="232"/>
      <c r="AIS64" s="233"/>
      <c r="AIT64" s="233"/>
      <c r="AIU64" s="233"/>
      <c r="AIV64" s="233"/>
      <c r="AIW64" s="233"/>
      <c r="AIX64" s="233"/>
      <c r="AIY64" s="231"/>
      <c r="AIZ64" s="231"/>
      <c r="AJA64" s="229"/>
      <c r="AJB64" s="230"/>
      <c r="AJC64" s="231"/>
      <c r="AJD64" s="232"/>
      <c r="AJE64" s="233"/>
      <c r="AJF64" s="233"/>
      <c r="AJG64" s="233"/>
      <c r="AJH64" s="233"/>
      <c r="AJI64" s="233"/>
      <c r="AJJ64" s="233"/>
      <c r="AJK64" s="231"/>
      <c r="AJL64" s="231"/>
      <c r="AJM64" s="229"/>
      <c r="AJN64" s="230"/>
      <c r="AJO64" s="231"/>
      <c r="AJP64" s="232"/>
      <c r="AJQ64" s="233"/>
      <c r="AJR64" s="233"/>
      <c r="AJS64" s="233"/>
      <c r="AJT64" s="233"/>
      <c r="AJU64" s="233"/>
      <c r="AJV64" s="233"/>
      <c r="AJW64" s="231"/>
      <c r="AJX64" s="231"/>
      <c r="AJY64" s="229"/>
      <c r="AJZ64" s="230"/>
      <c r="AKA64" s="231"/>
      <c r="AKB64" s="232"/>
      <c r="AKC64" s="233"/>
      <c r="AKD64" s="233"/>
      <c r="AKE64" s="233"/>
      <c r="AKF64" s="233"/>
      <c r="AKG64" s="233"/>
      <c r="AKH64" s="233"/>
      <c r="AKI64" s="231"/>
      <c r="AKJ64" s="231"/>
      <c r="AKK64" s="229"/>
      <c r="AKL64" s="230"/>
      <c r="AKM64" s="231"/>
      <c r="AKN64" s="232"/>
      <c r="AKO64" s="233"/>
      <c r="AKP64" s="233"/>
      <c r="AKQ64" s="233"/>
      <c r="AKR64" s="233"/>
      <c r="AKS64" s="233"/>
      <c r="AKT64" s="233"/>
      <c r="AKU64" s="231"/>
      <c r="AKV64" s="231"/>
      <c r="AKW64" s="229"/>
      <c r="AKX64" s="230"/>
      <c r="AKY64" s="231"/>
      <c r="AKZ64" s="232"/>
      <c r="ALA64" s="233"/>
      <c r="ALB64" s="233"/>
      <c r="ALC64" s="233"/>
      <c r="ALD64" s="233"/>
      <c r="ALE64" s="233"/>
      <c r="ALF64" s="233"/>
      <c r="ALG64" s="231"/>
      <c r="ALH64" s="231"/>
      <c r="ALI64" s="229"/>
      <c r="ALJ64" s="230"/>
      <c r="ALK64" s="231"/>
      <c r="ALL64" s="232"/>
      <c r="ALM64" s="233"/>
      <c r="ALN64" s="233"/>
      <c r="ALO64" s="233"/>
      <c r="ALP64" s="233"/>
      <c r="ALQ64" s="233"/>
      <c r="ALR64" s="233"/>
      <c r="ALS64" s="231"/>
      <c r="ALT64" s="231"/>
      <c r="ALU64" s="229"/>
      <c r="ALV64" s="230"/>
      <c r="ALW64" s="231"/>
      <c r="ALX64" s="232"/>
      <c r="ALY64" s="233"/>
      <c r="ALZ64" s="233"/>
      <c r="AMA64" s="233"/>
      <c r="AMB64" s="233"/>
      <c r="AMC64" s="233"/>
      <c r="AMD64" s="233"/>
      <c r="AME64" s="231"/>
      <c r="AMF64" s="231"/>
      <c r="AMG64" s="229"/>
      <c r="AMH64" s="230"/>
      <c r="AMI64" s="231"/>
      <c r="AMJ64" s="232"/>
      <c r="AMK64" s="233"/>
      <c r="AML64" s="233"/>
      <c r="AMM64" s="233"/>
      <c r="AMN64" s="233"/>
      <c r="AMO64" s="233"/>
      <c r="AMP64" s="233"/>
      <c r="AMQ64" s="231"/>
      <c r="AMR64" s="231"/>
      <c r="AMS64" s="229"/>
      <c r="AMT64" s="230"/>
      <c r="AMU64" s="231"/>
      <c r="AMV64" s="232"/>
      <c r="AMW64" s="233"/>
      <c r="AMX64" s="233"/>
      <c r="AMY64" s="233"/>
      <c r="AMZ64" s="233"/>
      <c r="ANA64" s="233"/>
      <c r="ANB64" s="233"/>
      <c r="ANC64" s="231"/>
      <c r="AND64" s="231"/>
      <c r="ANE64" s="229"/>
      <c r="ANF64" s="230"/>
      <c r="ANG64" s="231"/>
      <c r="ANH64" s="232"/>
      <c r="ANI64" s="233"/>
      <c r="ANJ64" s="233"/>
      <c r="ANK64" s="233"/>
      <c r="ANL64" s="233"/>
      <c r="ANM64" s="233"/>
      <c r="ANN64" s="233"/>
      <c r="ANO64" s="231"/>
      <c r="ANP64" s="231"/>
      <c r="ANQ64" s="229"/>
      <c r="ANR64" s="230"/>
      <c r="ANS64" s="231"/>
      <c r="ANT64" s="232"/>
      <c r="ANU64" s="233"/>
      <c r="ANV64" s="233"/>
      <c r="ANW64" s="233"/>
      <c r="ANX64" s="233"/>
      <c r="ANY64" s="233"/>
      <c r="ANZ64" s="233"/>
      <c r="AOA64" s="231"/>
      <c r="AOB64" s="231"/>
      <c r="AOC64" s="229"/>
      <c r="AOD64" s="230"/>
      <c r="AOE64" s="231"/>
      <c r="AOF64" s="232"/>
      <c r="AOG64" s="233"/>
      <c r="AOH64" s="233"/>
      <c r="AOI64" s="233"/>
      <c r="AOJ64" s="233"/>
      <c r="AOK64" s="233"/>
      <c r="AOL64" s="233"/>
      <c r="AOM64" s="231"/>
      <c r="AON64" s="231"/>
      <c r="AOO64" s="229"/>
      <c r="AOP64" s="230"/>
      <c r="AOQ64" s="231"/>
      <c r="AOR64" s="232"/>
      <c r="AOS64" s="233"/>
      <c r="AOT64" s="233"/>
      <c r="AOU64" s="233"/>
      <c r="AOV64" s="233"/>
      <c r="AOW64" s="233"/>
      <c r="AOX64" s="233"/>
      <c r="AOY64" s="231"/>
      <c r="AOZ64" s="231"/>
      <c r="APA64" s="229"/>
      <c r="APB64" s="230"/>
      <c r="APC64" s="231"/>
      <c r="APD64" s="232"/>
      <c r="APE64" s="233"/>
      <c r="APF64" s="233"/>
      <c r="APG64" s="233"/>
      <c r="APH64" s="233"/>
      <c r="API64" s="233"/>
      <c r="APJ64" s="233"/>
      <c r="APK64" s="231"/>
      <c r="APL64" s="231"/>
      <c r="APM64" s="229"/>
      <c r="APN64" s="230"/>
      <c r="APO64" s="231"/>
      <c r="APP64" s="232"/>
      <c r="APQ64" s="233"/>
      <c r="APR64" s="233"/>
      <c r="APS64" s="233"/>
      <c r="APT64" s="233"/>
      <c r="APU64" s="233"/>
      <c r="APV64" s="233"/>
      <c r="APW64" s="231"/>
      <c r="APX64" s="231"/>
      <c r="APY64" s="229"/>
      <c r="APZ64" s="230"/>
      <c r="AQA64" s="231"/>
      <c r="AQB64" s="232"/>
      <c r="AQC64" s="233"/>
      <c r="AQD64" s="233"/>
      <c r="AQE64" s="233"/>
      <c r="AQF64" s="233"/>
      <c r="AQG64" s="233"/>
      <c r="AQH64" s="233"/>
      <c r="AQI64" s="231"/>
      <c r="AQJ64" s="231"/>
      <c r="AQK64" s="229"/>
      <c r="AQL64" s="230"/>
      <c r="AQM64" s="231"/>
      <c r="AQN64" s="232"/>
      <c r="AQO64" s="233"/>
      <c r="AQP64" s="233"/>
      <c r="AQQ64" s="233"/>
      <c r="AQR64" s="233"/>
      <c r="AQS64" s="233"/>
      <c r="AQT64" s="233"/>
      <c r="AQU64" s="231"/>
      <c r="AQV64" s="231"/>
      <c r="AQW64" s="229"/>
      <c r="AQX64" s="230"/>
      <c r="AQY64" s="231"/>
      <c r="AQZ64" s="232"/>
      <c r="ARA64" s="233"/>
      <c r="ARB64" s="233"/>
      <c r="ARC64" s="233"/>
      <c r="ARD64" s="233"/>
      <c r="ARE64" s="233"/>
      <c r="ARF64" s="233"/>
      <c r="ARG64" s="231"/>
      <c r="ARH64" s="231"/>
      <c r="ARI64" s="229"/>
      <c r="ARJ64" s="230"/>
      <c r="ARK64" s="231"/>
      <c r="ARL64" s="232"/>
      <c r="ARM64" s="233"/>
      <c r="ARN64" s="233"/>
      <c r="ARO64" s="233"/>
      <c r="ARP64" s="233"/>
      <c r="ARQ64" s="233"/>
      <c r="ARR64" s="233"/>
      <c r="ARS64" s="231"/>
      <c r="ART64" s="231"/>
      <c r="ARU64" s="229"/>
      <c r="ARV64" s="230"/>
      <c r="ARW64" s="231"/>
      <c r="ARX64" s="232"/>
      <c r="ARY64" s="233"/>
      <c r="ARZ64" s="233"/>
      <c r="ASA64" s="233"/>
      <c r="ASB64" s="233"/>
      <c r="ASC64" s="233"/>
      <c r="ASD64" s="233"/>
      <c r="ASE64" s="231"/>
      <c r="ASF64" s="231"/>
      <c r="ASG64" s="229"/>
      <c r="ASH64" s="230"/>
      <c r="ASI64" s="231"/>
      <c r="ASJ64" s="232"/>
      <c r="ASK64" s="233"/>
      <c r="ASL64" s="233"/>
      <c r="ASM64" s="233"/>
      <c r="ASN64" s="233"/>
      <c r="ASO64" s="233"/>
      <c r="ASP64" s="233"/>
      <c r="ASQ64" s="231"/>
      <c r="ASR64" s="231"/>
      <c r="ASS64" s="229"/>
      <c r="AST64" s="230"/>
      <c r="ASU64" s="231"/>
      <c r="ASV64" s="232"/>
      <c r="ASW64" s="233"/>
      <c r="ASX64" s="233"/>
      <c r="ASY64" s="233"/>
      <c r="ASZ64" s="233"/>
      <c r="ATA64" s="233"/>
      <c r="ATB64" s="233"/>
      <c r="ATC64" s="231"/>
      <c r="ATD64" s="231"/>
      <c r="ATE64" s="229"/>
      <c r="ATF64" s="230"/>
      <c r="ATG64" s="231"/>
      <c r="ATH64" s="232"/>
      <c r="ATI64" s="233"/>
      <c r="ATJ64" s="233"/>
      <c r="ATK64" s="233"/>
      <c r="ATL64" s="233"/>
      <c r="ATM64" s="233"/>
      <c r="ATN64" s="233"/>
      <c r="ATO64" s="231"/>
      <c r="ATP64" s="231"/>
      <c r="ATQ64" s="229"/>
      <c r="ATR64" s="230"/>
      <c r="ATS64" s="231"/>
      <c r="ATT64" s="232"/>
      <c r="ATU64" s="233"/>
      <c r="ATV64" s="233"/>
      <c r="ATW64" s="233"/>
      <c r="ATX64" s="233"/>
      <c r="ATY64" s="233"/>
      <c r="ATZ64" s="233"/>
      <c r="AUA64" s="231"/>
      <c r="AUB64" s="231"/>
      <c r="AUC64" s="229"/>
      <c r="AUD64" s="230"/>
      <c r="AUE64" s="231"/>
      <c r="AUF64" s="232"/>
      <c r="AUG64" s="233"/>
      <c r="AUH64" s="233"/>
      <c r="AUI64" s="233"/>
      <c r="AUJ64" s="233"/>
      <c r="AUK64" s="233"/>
      <c r="AUL64" s="233"/>
      <c r="AUM64" s="231"/>
      <c r="AUN64" s="231"/>
      <c r="AUO64" s="229"/>
      <c r="AUP64" s="230"/>
      <c r="AUQ64" s="231"/>
      <c r="AUR64" s="232"/>
      <c r="AUS64" s="233"/>
      <c r="AUT64" s="233"/>
      <c r="AUU64" s="233"/>
      <c r="AUV64" s="233"/>
      <c r="AUW64" s="233"/>
      <c r="AUX64" s="233"/>
      <c r="AUY64" s="231"/>
      <c r="AUZ64" s="231"/>
      <c r="AVA64" s="229"/>
      <c r="AVB64" s="230"/>
      <c r="AVC64" s="231"/>
      <c r="AVD64" s="232"/>
      <c r="AVE64" s="233"/>
      <c r="AVF64" s="233"/>
      <c r="AVG64" s="233"/>
      <c r="AVH64" s="233"/>
      <c r="AVI64" s="233"/>
      <c r="AVJ64" s="233"/>
      <c r="AVK64" s="231"/>
      <c r="AVL64" s="231"/>
      <c r="AVM64" s="229"/>
      <c r="AVN64" s="230"/>
      <c r="AVO64" s="231"/>
      <c r="AVP64" s="232"/>
      <c r="AVQ64" s="233"/>
      <c r="AVR64" s="233"/>
      <c r="AVS64" s="233"/>
      <c r="AVT64" s="233"/>
      <c r="AVU64" s="233"/>
      <c r="AVV64" s="233"/>
      <c r="AVW64" s="231"/>
      <c r="AVX64" s="231"/>
      <c r="AVY64" s="229"/>
      <c r="AVZ64" s="230"/>
      <c r="AWA64" s="231"/>
      <c r="AWB64" s="232"/>
      <c r="AWC64" s="233"/>
      <c r="AWD64" s="233"/>
      <c r="AWE64" s="233"/>
      <c r="AWF64" s="233"/>
      <c r="AWG64" s="233"/>
      <c r="AWH64" s="233"/>
      <c r="AWI64" s="231"/>
      <c r="AWJ64" s="231"/>
      <c r="AWK64" s="229"/>
      <c r="AWL64" s="230"/>
      <c r="AWM64" s="231"/>
      <c r="AWN64" s="232"/>
      <c r="AWO64" s="233"/>
      <c r="AWP64" s="233"/>
      <c r="AWQ64" s="233"/>
      <c r="AWR64" s="233"/>
      <c r="AWS64" s="233"/>
      <c r="AWT64" s="233"/>
      <c r="AWU64" s="231"/>
      <c r="AWV64" s="231"/>
      <c r="AWW64" s="229"/>
      <c r="AWX64" s="230"/>
      <c r="AWY64" s="231"/>
      <c r="AWZ64" s="232"/>
      <c r="AXA64" s="233"/>
      <c r="AXB64" s="233"/>
      <c r="AXC64" s="233"/>
      <c r="AXD64" s="233"/>
      <c r="AXE64" s="233"/>
      <c r="AXF64" s="233"/>
      <c r="AXG64" s="231"/>
      <c r="AXH64" s="231"/>
      <c r="AXI64" s="229"/>
      <c r="AXJ64" s="230"/>
      <c r="AXK64" s="231"/>
      <c r="AXL64" s="232"/>
      <c r="AXM64" s="233"/>
      <c r="AXN64" s="233"/>
      <c r="AXO64" s="233"/>
      <c r="AXP64" s="233"/>
      <c r="AXQ64" s="233"/>
      <c r="AXR64" s="233"/>
      <c r="AXS64" s="231"/>
      <c r="AXT64" s="231"/>
      <c r="AXU64" s="229"/>
      <c r="AXV64" s="230"/>
      <c r="AXW64" s="231"/>
      <c r="AXX64" s="232"/>
      <c r="AXY64" s="233"/>
      <c r="AXZ64" s="233"/>
      <c r="AYA64" s="233"/>
      <c r="AYB64" s="233"/>
      <c r="AYC64" s="233"/>
      <c r="AYD64" s="233"/>
      <c r="AYE64" s="231"/>
      <c r="AYF64" s="231"/>
      <c r="AYG64" s="229"/>
      <c r="AYH64" s="230"/>
      <c r="AYI64" s="231"/>
      <c r="AYJ64" s="232"/>
      <c r="AYK64" s="233"/>
      <c r="AYL64" s="233"/>
      <c r="AYM64" s="233"/>
      <c r="AYN64" s="233"/>
      <c r="AYO64" s="233"/>
      <c r="AYP64" s="233"/>
      <c r="AYQ64" s="231"/>
      <c r="AYR64" s="231"/>
      <c r="AYS64" s="229"/>
      <c r="AYT64" s="230"/>
      <c r="AYU64" s="231"/>
      <c r="AYV64" s="232"/>
      <c r="AYW64" s="233"/>
      <c r="AYX64" s="233"/>
      <c r="AYY64" s="233"/>
      <c r="AYZ64" s="233"/>
      <c r="AZA64" s="233"/>
      <c r="AZB64" s="233"/>
      <c r="AZC64" s="231"/>
      <c r="AZD64" s="231"/>
      <c r="AZE64" s="229"/>
      <c r="AZF64" s="230"/>
      <c r="AZG64" s="231"/>
      <c r="AZH64" s="232"/>
      <c r="AZI64" s="233"/>
      <c r="AZJ64" s="233"/>
      <c r="AZK64" s="233"/>
      <c r="AZL64" s="233"/>
      <c r="AZM64" s="233"/>
      <c r="AZN64" s="233"/>
      <c r="AZO64" s="231"/>
      <c r="AZP64" s="231"/>
      <c r="AZQ64" s="229"/>
      <c r="AZR64" s="230"/>
      <c r="AZS64" s="231"/>
      <c r="AZT64" s="232"/>
      <c r="AZU64" s="233"/>
      <c r="AZV64" s="233"/>
      <c r="AZW64" s="233"/>
      <c r="AZX64" s="233"/>
      <c r="AZY64" s="233"/>
      <c r="AZZ64" s="233"/>
      <c r="BAA64" s="231"/>
      <c r="BAB64" s="231"/>
      <c r="BAC64" s="229"/>
      <c r="BAD64" s="230"/>
      <c r="BAE64" s="231"/>
      <c r="BAF64" s="232"/>
      <c r="BAG64" s="233"/>
      <c r="BAH64" s="233"/>
      <c r="BAI64" s="233"/>
      <c r="BAJ64" s="233"/>
      <c r="BAK64" s="233"/>
      <c r="BAL64" s="233"/>
      <c r="BAM64" s="231"/>
      <c r="BAN64" s="231"/>
      <c r="BAO64" s="229"/>
      <c r="BAP64" s="230"/>
      <c r="BAQ64" s="231"/>
      <c r="BAR64" s="232"/>
      <c r="BAS64" s="233"/>
      <c r="BAT64" s="233"/>
      <c r="BAU64" s="233"/>
      <c r="BAV64" s="233"/>
      <c r="BAW64" s="233"/>
      <c r="BAX64" s="233"/>
      <c r="BAY64" s="231"/>
      <c r="BAZ64" s="231"/>
      <c r="BBA64" s="229"/>
      <c r="BBB64" s="230"/>
      <c r="BBC64" s="231"/>
      <c r="BBD64" s="232"/>
      <c r="BBE64" s="233"/>
      <c r="BBF64" s="233"/>
      <c r="BBG64" s="233"/>
      <c r="BBH64" s="233"/>
      <c r="BBI64" s="233"/>
      <c r="BBJ64" s="233"/>
      <c r="BBK64" s="231"/>
      <c r="BBL64" s="231"/>
      <c r="BBM64" s="229"/>
      <c r="BBN64" s="230"/>
      <c r="BBO64" s="231"/>
      <c r="BBP64" s="232"/>
      <c r="BBQ64" s="233"/>
      <c r="BBR64" s="233"/>
      <c r="BBS64" s="233"/>
      <c r="BBT64" s="233"/>
      <c r="BBU64" s="233"/>
      <c r="BBV64" s="233"/>
      <c r="BBW64" s="231"/>
      <c r="BBX64" s="231"/>
      <c r="BBY64" s="229"/>
      <c r="BBZ64" s="230"/>
      <c r="BCA64" s="231"/>
      <c r="BCB64" s="232"/>
      <c r="BCC64" s="233"/>
      <c r="BCD64" s="233"/>
      <c r="BCE64" s="233"/>
      <c r="BCF64" s="233"/>
      <c r="BCG64" s="233"/>
      <c r="BCH64" s="233"/>
      <c r="BCI64" s="231"/>
      <c r="BCJ64" s="231"/>
      <c r="BCK64" s="229"/>
      <c r="BCL64" s="230"/>
      <c r="BCM64" s="231"/>
      <c r="BCN64" s="232"/>
      <c r="BCO64" s="233"/>
      <c r="BCP64" s="233"/>
      <c r="BCQ64" s="233"/>
      <c r="BCR64" s="233"/>
      <c r="BCS64" s="233"/>
      <c r="BCT64" s="233"/>
      <c r="BCU64" s="231"/>
      <c r="BCV64" s="231"/>
      <c r="BCW64" s="229"/>
      <c r="BCX64" s="230"/>
      <c r="BCY64" s="231"/>
      <c r="BCZ64" s="232"/>
      <c r="BDA64" s="233"/>
      <c r="BDB64" s="233"/>
      <c r="BDC64" s="233"/>
      <c r="BDD64" s="233"/>
      <c r="BDE64" s="233"/>
      <c r="BDF64" s="233"/>
      <c r="BDG64" s="231"/>
      <c r="BDH64" s="231"/>
      <c r="BDI64" s="229"/>
      <c r="BDJ64" s="230"/>
      <c r="BDK64" s="231"/>
      <c r="BDL64" s="232"/>
      <c r="BDM64" s="233"/>
      <c r="BDN64" s="233"/>
      <c r="BDO64" s="233"/>
      <c r="BDP64" s="233"/>
      <c r="BDQ64" s="233"/>
      <c r="BDR64" s="233"/>
      <c r="BDS64" s="231"/>
      <c r="BDT64" s="231"/>
      <c r="BDU64" s="229"/>
      <c r="BDV64" s="230"/>
      <c r="BDW64" s="231"/>
      <c r="BDX64" s="232"/>
      <c r="BDY64" s="233"/>
      <c r="BDZ64" s="233"/>
      <c r="BEA64" s="233"/>
      <c r="BEB64" s="233"/>
      <c r="BEC64" s="233"/>
      <c r="BED64" s="233"/>
      <c r="BEE64" s="231"/>
      <c r="BEF64" s="231"/>
      <c r="BEG64" s="229"/>
      <c r="BEH64" s="230"/>
      <c r="BEI64" s="231"/>
      <c r="BEJ64" s="232"/>
      <c r="BEK64" s="233"/>
      <c r="BEL64" s="233"/>
      <c r="BEM64" s="233"/>
      <c r="BEN64" s="233"/>
      <c r="BEO64" s="233"/>
      <c r="BEP64" s="233"/>
      <c r="BEQ64" s="231"/>
      <c r="BER64" s="231"/>
      <c r="BES64" s="229"/>
      <c r="BET64" s="230"/>
      <c r="BEU64" s="231"/>
      <c r="BEV64" s="232"/>
      <c r="BEW64" s="233"/>
      <c r="BEX64" s="233"/>
      <c r="BEY64" s="233"/>
      <c r="BEZ64" s="233"/>
      <c r="BFA64" s="233"/>
      <c r="BFB64" s="233"/>
      <c r="BFC64" s="231"/>
      <c r="BFD64" s="231"/>
      <c r="BFE64" s="229"/>
      <c r="BFF64" s="230"/>
      <c r="BFG64" s="231"/>
      <c r="BFH64" s="232"/>
      <c r="BFI64" s="233"/>
      <c r="BFJ64" s="233"/>
      <c r="BFK64" s="233"/>
      <c r="BFL64" s="233"/>
      <c r="BFM64" s="233"/>
      <c r="BFN64" s="233"/>
      <c r="BFO64" s="231"/>
      <c r="BFP64" s="231"/>
      <c r="BFQ64" s="229"/>
      <c r="BFR64" s="230"/>
      <c r="BFS64" s="231"/>
      <c r="BFT64" s="232"/>
      <c r="BFU64" s="233"/>
      <c r="BFV64" s="233"/>
      <c r="BFW64" s="233"/>
      <c r="BFX64" s="233"/>
      <c r="BFY64" s="233"/>
      <c r="BFZ64" s="233"/>
      <c r="BGA64" s="231"/>
      <c r="BGB64" s="231"/>
      <c r="BGC64" s="229"/>
      <c r="BGD64" s="230"/>
      <c r="BGE64" s="231"/>
      <c r="BGF64" s="232"/>
      <c r="BGG64" s="233"/>
      <c r="BGH64" s="233"/>
      <c r="BGI64" s="233"/>
      <c r="BGJ64" s="233"/>
      <c r="BGK64" s="233"/>
      <c r="BGL64" s="233"/>
      <c r="BGM64" s="231"/>
      <c r="BGN64" s="231"/>
      <c r="BGO64" s="229"/>
      <c r="BGP64" s="230"/>
      <c r="BGQ64" s="231"/>
      <c r="BGR64" s="232"/>
      <c r="BGS64" s="233"/>
      <c r="BGT64" s="233"/>
      <c r="BGU64" s="233"/>
      <c r="BGV64" s="233"/>
      <c r="BGW64" s="233"/>
      <c r="BGX64" s="233"/>
      <c r="BGY64" s="231"/>
      <c r="BGZ64" s="231"/>
      <c r="BHA64" s="229"/>
      <c r="BHB64" s="230"/>
      <c r="BHC64" s="231"/>
      <c r="BHD64" s="232"/>
      <c r="BHE64" s="233"/>
      <c r="BHF64" s="233"/>
      <c r="BHG64" s="233"/>
      <c r="BHH64" s="233"/>
      <c r="BHI64" s="233"/>
      <c r="BHJ64" s="233"/>
      <c r="BHK64" s="231"/>
      <c r="BHL64" s="231"/>
      <c r="BHM64" s="229"/>
      <c r="BHN64" s="230"/>
      <c r="BHO64" s="231"/>
      <c r="BHP64" s="232"/>
      <c r="BHQ64" s="233"/>
      <c r="BHR64" s="233"/>
      <c r="BHS64" s="233"/>
      <c r="BHT64" s="233"/>
      <c r="BHU64" s="233"/>
      <c r="BHV64" s="233"/>
      <c r="BHW64" s="231"/>
      <c r="BHX64" s="231"/>
      <c r="BHY64" s="229"/>
      <c r="BHZ64" s="230"/>
      <c r="BIA64" s="231"/>
      <c r="BIB64" s="232"/>
      <c r="BIC64" s="233"/>
      <c r="BID64" s="233"/>
      <c r="BIE64" s="233"/>
      <c r="BIF64" s="233"/>
      <c r="BIG64" s="233"/>
      <c r="BIH64" s="233"/>
      <c r="BII64" s="231"/>
      <c r="BIJ64" s="231"/>
      <c r="BIK64" s="229"/>
      <c r="BIL64" s="230"/>
      <c r="BIM64" s="231"/>
      <c r="BIN64" s="232"/>
      <c r="BIO64" s="233"/>
      <c r="BIP64" s="233"/>
      <c r="BIQ64" s="233"/>
      <c r="BIR64" s="233"/>
      <c r="BIS64" s="233"/>
      <c r="BIT64" s="233"/>
      <c r="BIU64" s="231"/>
      <c r="BIV64" s="231"/>
      <c r="BIW64" s="229"/>
      <c r="BIX64" s="230"/>
      <c r="BIY64" s="231"/>
      <c r="BIZ64" s="232"/>
      <c r="BJA64" s="233"/>
      <c r="BJB64" s="233"/>
      <c r="BJC64" s="233"/>
      <c r="BJD64" s="233"/>
      <c r="BJE64" s="233"/>
      <c r="BJF64" s="233"/>
      <c r="BJG64" s="231"/>
      <c r="BJH64" s="231"/>
      <c r="BJI64" s="229"/>
      <c r="BJJ64" s="230"/>
      <c r="BJK64" s="231"/>
      <c r="BJL64" s="232"/>
      <c r="BJM64" s="233"/>
      <c r="BJN64" s="233"/>
      <c r="BJO64" s="233"/>
      <c r="BJP64" s="233"/>
      <c r="BJQ64" s="233"/>
      <c r="BJR64" s="233"/>
      <c r="BJS64" s="231"/>
      <c r="BJT64" s="231"/>
      <c r="BJU64" s="229"/>
      <c r="BJV64" s="230"/>
      <c r="BJW64" s="231"/>
      <c r="BJX64" s="232"/>
      <c r="BJY64" s="233"/>
      <c r="BJZ64" s="233"/>
      <c r="BKA64" s="233"/>
      <c r="BKB64" s="233"/>
      <c r="BKC64" s="233"/>
      <c r="BKD64" s="233"/>
      <c r="BKE64" s="231"/>
      <c r="BKF64" s="231"/>
      <c r="BKG64" s="229"/>
      <c r="BKH64" s="230"/>
      <c r="BKI64" s="231"/>
      <c r="BKJ64" s="232"/>
      <c r="BKK64" s="233"/>
      <c r="BKL64" s="233"/>
      <c r="BKM64" s="233"/>
      <c r="BKN64" s="233"/>
      <c r="BKO64" s="233"/>
      <c r="BKP64" s="233"/>
      <c r="BKQ64" s="231"/>
      <c r="BKR64" s="231"/>
      <c r="BKS64" s="229"/>
      <c r="BKT64" s="230"/>
      <c r="BKU64" s="231"/>
      <c r="BKV64" s="232"/>
      <c r="BKW64" s="233"/>
      <c r="BKX64" s="233"/>
      <c r="BKY64" s="233"/>
      <c r="BKZ64" s="233"/>
      <c r="BLA64" s="233"/>
      <c r="BLB64" s="233"/>
      <c r="BLC64" s="231"/>
      <c r="BLD64" s="231"/>
      <c r="BLE64" s="229"/>
      <c r="BLF64" s="230"/>
      <c r="BLG64" s="231"/>
      <c r="BLH64" s="232"/>
      <c r="BLI64" s="233"/>
      <c r="BLJ64" s="233"/>
      <c r="BLK64" s="233"/>
      <c r="BLL64" s="233"/>
      <c r="BLM64" s="233"/>
      <c r="BLN64" s="233"/>
      <c r="BLO64" s="231"/>
      <c r="BLP64" s="231"/>
      <c r="BLQ64" s="229"/>
      <c r="BLR64" s="230"/>
      <c r="BLS64" s="231"/>
      <c r="BLT64" s="232"/>
      <c r="BLU64" s="233"/>
      <c r="BLV64" s="233"/>
      <c r="BLW64" s="233"/>
      <c r="BLX64" s="233"/>
      <c r="BLY64" s="233"/>
      <c r="BLZ64" s="233"/>
      <c r="BMA64" s="231"/>
      <c r="BMB64" s="231"/>
      <c r="BMC64" s="229"/>
      <c r="BMD64" s="230"/>
      <c r="BME64" s="231"/>
      <c r="BMF64" s="232"/>
      <c r="BMG64" s="233"/>
      <c r="BMH64" s="233"/>
      <c r="BMI64" s="233"/>
      <c r="BMJ64" s="233"/>
      <c r="BMK64" s="233"/>
      <c r="BML64" s="233"/>
      <c r="BMM64" s="231"/>
      <c r="BMN64" s="231"/>
      <c r="BMO64" s="229"/>
      <c r="BMP64" s="230"/>
      <c r="BMQ64" s="231"/>
      <c r="BMR64" s="232"/>
      <c r="BMS64" s="233"/>
      <c r="BMT64" s="233"/>
      <c r="BMU64" s="233"/>
      <c r="BMV64" s="233"/>
      <c r="BMW64" s="233"/>
      <c r="BMX64" s="233"/>
      <c r="BMY64" s="231"/>
      <c r="BMZ64" s="231"/>
      <c r="BNA64" s="229"/>
      <c r="BNB64" s="230"/>
      <c r="BNC64" s="231"/>
      <c r="BND64" s="232"/>
      <c r="BNE64" s="233"/>
      <c r="BNF64" s="233"/>
      <c r="BNG64" s="233"/>
      <c r="BNH64" s="233"/>
      <c r="BNI64" s="233"/>
      <c r="BNJ64" s="233"/>
      <c r="BNK64" s="231"/>
      <c r="BNL64" s="231"/>
      <c r="BNM64" s="229"/>
      <c r="BNN64" s="230"/>
      <c r="BNO64" s="231"/>
      <c r="BNP64" s="232"/>
      <c r="BNQ64" s="233"/>
      <c r="BNR64" s="233"/>
      <c r="BNS64" s="233"/>
      <c r="BNT64" s="233"/>
      <c r="BNU64" s="233"/>
      <c r="BNV64" s="233"/>
      <c r="BNW64" s="231"/>
      <c r="BNX64" s="231"/>
      <c r="BNY64" s="229"/>
      <c r="BNZ64" s="230"/>
      <c r="BOA64" s="231"/>
      <c r="BOB64" s="232"/>
      <c r="BOC64" s="233"/>
      <c r="BOD64" s="233"/>
      <c r="BOE64" s="233"/>
      <c r="BOF64" s="233"/>
      <c r="BOG64" s="233"/>
      <c r="BOH64" s="233"/>
      <c r="BOI64" s="231"/>
      <c r="BOJ64" s="231"/>
      <c r="BOK64" s="229"/>
      <c r="BOL64" s="230"/>
      <c r="BOM64" s="231"/>
      <c r="BON64" s="232"/>
      <c r="BOO64" s="233"/>
      <c r="BOP64" s="233"/>
      <c r="BOQ64" s="233"/>
      <c r="BOR64" s="233"/>
      <c r="BOS64" s="233"/>
      <c r="BOT64" s="233"/>
      <c r="BOU64" s="231"/>
      <c r="BOV64" s="231"/>
      <c r="BOW64" s="229"/>
      <c r="BOX64" s="230"/>
      <c r="BOY64" s="231"/>
      <c r="BOZ64" s="232"/>
      <c r="BPA64" s="233"/>
      <c r="BPB64" s="233"/>
      <c r="BPC64" s="233"/>
      <c r="BPD64" s="233"/>
      <c r="BPE64" s="233"/>
      <c r="BPF64" s="233"/>
      <c r="BPG64" s="231"/>
      <c r="BPH64" s="231"/>
      <c r="BPI64" s="229"/>
      <c r="BPJ64" s="230"/>
      <c r="BPK64" s="231"/>
      <c r="BPL64" s="232"/>
      <c r="BPM64" s="233"/>
      <c r="BPN64" s="233"/>
      <c r="BPO64" s="233"/>
      <c r="BPP64" s="233"/>
      <c r="BPQ64" s="233"/>
      <c r="BPR64" s="233"/>
      <c r="BPS64" s="231"/>
      <c r="BPT64" s="231"/>
      <c r="BPU64" s="229"/>
      <c r="BPV64" s="230"/>
      <c r="BPW64" s="231"/>
      <c r="BPX64" s="232"/>
      <c r="BPY64" s="233"/>
      <c r="BPZ64" s="233"/>
      <c r="BQA64" s="233"/>
      <c r="BQB64" s="233"/>
      <c r="BQC64" s="233"/>
      <c r="BQD64" s="233"/>
      <c r="BQE64" s="231"/>
      <c r="BQF64" s="231"/>
      <c r="BQG64" s="229"/>
      <c r="BQH64" s="230"/>
      <c r="BQI64" s="231"/>
      <c r="BQJ64" s="232"/>
      <c r="BQK64" s="233"/>
      <c r="BQL64" s="233"/>
      <c r="BQM64" s="233"/>
      <c r="BQN64" s="233"/>
      <c r="BQO64" s="233"/>
      <c r="BQP64" s="233"/>
      <c r="BQQ64" s="231"/>
      <c r="BQR64" s="231"/>
      <c r="BQS64" s="229"/>
      <c r="BQT64" s="230"/>
      <c r="BQU64" s="231"/>
      <c r="BQV64" s="232"/>
      <c r="BQW64" s="233"/>
      <c r="BQX64" s="233"/>
      <c r="BQY64" s="233"/>
      <c r="BQZ64" s="233"/>
      <c r="BRA64" s="233"/>
      <c r="BRB64" s="233"/>
      <c r="BRC64" s="231"/>
      <c r="BRD64" s="231"/>
      <c r="BRE64" s="229"/>
      <c r="BRF64" s="230"/>
      <c r="BRG64" s="231"/>
      <c r="BRH64" s="232"/>
      <c r="BRI64" s="233"/>
      <c r="BRJ64" s="233"/>
      <c r="BRK64" s="233"/>
      <c r="BRL64" s="233"/>
      <c r="BRM64" s="233"/>
      <c r="BRN64" s="233"/>
      <c r="BRO64" s="231"/>
      <c r="BRP64" s="231"/>
      <c r="BRQ64" s="229"/>
      <c r="BRR64" s="230"/>
      <c r="BRS64" s="231"/>
      <c r="BRT64" s="232"/>
      <c r="BRU64" s="233"/>
      <c r="BRV64" s="233"/>
      <c r="BRW64" s="233"/>
      <c r="BRX64" s="233"/>
      <c r="BRY64" s="233"/>
      <c r="BRZ64" s="233"/>
      <c r="BSA64" s="231"/>
      <c r="BSB64" s="231"/>
      <c r="BSC64" s="229"/>
      <c r="BSD64" s="230"/>
      <c r="BSE64" s="231"/>
      <c r="BSF64" s="232"/>
      <c r="BSG64" s="233"/>
      <c r="BSH64" s="233"/>
      <c r="BSI64" s="233"/>
      <c r="BSJ64" s="233"/>
      <c r="BSK64" s="233"/>
      <c r="BSL64" s="233"/>
      <c r="BSM64" s="231"/>
      <c r="BSN64" s="231"/>
      <c r="BSO64" s="229"/>
      <c r="BSP64" s="230"/>
      <c r="BSQ64" s="231"/>
      <c r="BSR64" s="232"/>
      <c r="BSS64" s="233"/>
      <c r="BST64" s="233"/>
      <c r="BSU64" s="233"/>
      <c r="BSV64" s="233"/>
      <c r="BSW64" s="233"/>
      <c r="BSX64" s="233"/>
      <c r="BSY64" s="231"/>
      <c r="BSZ64" s="231"/>
      <c r="BTA64" s="229"/>
      <c r="BTB64" s="230"/>
      <c r="BTC64" s="231"/>
      <c r="BTD64" s="232"/>
      <c r="BTE64" s="233"/>
      <c r="BTF64" s="233"/>
      <c r="BTG64" s="233"/>
      <c r="BTH64" s="233"/>
      <c r="BTI64" s="233"/>
      <c r="BTJ64" s="233"/>
      <c r="BTK64" s="231"/>
      <c r="BTL64" s="231"/>
      <c r="BTM64" s="229"/>
      <c r="BTN64" s="230"/>
      <c r="BTO64" s="231"/>
      <c r="BTP64" s="232"/>
      <c r="BTQ64" s="233"/>
      <c r="BTR64" s="233"/>
      <c r="BTS64" s="233"/>
      <c r="BTT64" s="233"/>
      <c r="BTU64" s="233"/>
      <c r="BTV64" s="233"/>
      <c r="BTW64" s="231"/>
      <c r="BTX64" s="231"/>
      <c r="BTY64" s="229"/>
      <c r="BTZ64" s="230"/>
      <c r="BUA64" s="231"/>
      <c r="BUB64" s="232"/>
      <c r="BUC64" s="233"/>
      <c r="BUD64" s="233"/>
      <c r="BUE64" s="233"/>
      <c r="BUF64" s="233"/>
      <c r="BUG64" s="233"/>
      <c r="BUH64" s="233"/>
      <c r="BUI64" s="231"/>
      <c r="BUJ64" s="231"/>
      <c r="BUK64" s="229"/>
      <c r="BUL64" s="230"/>
      <c r="BUM64" s="231"/>
      <c r="BUN64" s="232"/>
      <c r="BUO64" s="233"/>
      <c r="BUP64" s="233"/>
      <c r="BUQ64" s="233"/>
      <c r="BUR64" s="233"/>
      <c r="BUS64" s="233"/>
      <c r="BUT64" s="233"/>
      <c r="BUU64" s="231"/>
      <c r="BUV64" s="231"/>
      <c r="BUW64" s="229"/>
      <c r="BUX64" s="230"/>
      <c r="BUY64" s="231"/>
      <c r="BUZ64" s="232"/>
      <c r="BVA64" s="233"/>
      <c r="BVB64" s="233"/>
      <c r="BVC64" s="233"/>
      <c r="BVD64" s="233"/>
      <c r="BVE64" s="233"/>
      <c r="BVF64" s="233"/>
      <c r="BVG64" s="231"/>
      <c r="BVH64" s="231"/>
      <c r="BVI64" s="229"/>
      <c r="BVJ64" s="230"/>
      <c r="BVK64" s="231"/>
      <c r="BVL64" s="232"/>
      <c r="BVM64" s="233"/>
      <c r="BVN64" s="233"/>
      <c r="BVO64" s="233"/>
      <c r="BVP64" s="233"/>
      <c r="BVQ64" s="233"/>
      <c r="BVR64" s="233"/>
      <c r="BVS64" s="231"/>
      <c r="BVT64" s="231"/>
      <c r="BVU64" s="229"/>
      <c r="BVV64" s="230"/>
      <c r="BVW64" s="231"/>
      <c r="BVX64" s="232"/>
      <c r="BVY64" s="233"/>
      <c r="BVZ64" s="233"/>
      <c r="BWA64" s="233"/>
      <c r="BWB64" s="233"/>
      <c r="BWC64" s="233"/>
      <c r="BWD64" s="233"/>
      <c r="BWE64" s="231"/>
      <c r="BWF64" s="231"/>
      <c r="BWG64" s="229"/>
      <c r="BWH64" s="230"/>
      <c r="BWI64" s="231"/>
      <c r="BWJ64" s="232"/>
      <c r="BWK64" s="233"/>
      <c r="BWL64" s="233"/>
      <c r="BWM64" s="233"/>
      <c r="BWN64" s="233"/>
      <c r="BWO64" s="233"/>
      <c r="BWP64" s="233"/>
      <c r="BWQ64" s="231"/>
      <c r="BWR64" s="231"/>
      <c r="BWS64" s="229"/>
      <c r="BWT64" s="230"/>
      <c r="BWU64" s="231"/>
      <c r="BWV64" s="232"/>
      <c r="BWW64" s="233"/>
      <c r="BWX64" s="233"/>
      <c r="BWY64" s="233"/>
      <c r="BWZ64" s="233"/>
      <c r="BXA64" s="233"/>
      <c r="BXB64" s="233"/>
      <c r="BXC64" s="231"/>
      <c r="BXD64" s="231"/>
      <c r="BXE64" s="229"/>
      <c r="BXF64" s="230"/>
      <c r="BXG64" s="231"/>
      <c r="BXH64" s="232"/>
      <c r="BXI64" s="233"/>
      <c r="BXJ64" s="233"/>
      <c r="BXK64" s="233"/>
      <c r="BXL64" s="233"/>
      <c r="BXM64" s="233"/>
      <c r="BXN64" s="233"/>
      <c r="BXO64" s="231"/>
      <c r="BXP64" s="231"/>
      <c r="BXQ64" s="229"/>
      <c r="BXR64" s="230"/>
      <c r="BXS64" s="231"/>
      <c r="BXT64" s="232"/>
      <c r="BXU64" s="233"/>
      <c r="BXV64" s="233"/>
      <c r="BXW64" s="233"/>
      <c r="BXX64" s="233"/>
      <c r="BXY64" s="233"/>
      <c r="BXZ64" s="233"/>
      <c r="BYA64" s="231"/>
      <c r="BYB64" s="231"/>
      <c r="BYC64" s="229"/>
      <c r="BYD64" s="230"/>
      <c r="BYE64" s="231"/>
      <c r="BYF64" s="232"/>
      <c r="BYG64" s="233"/>
      <c r="BYH64" s="233"/>
      <c r="BYI64" s="233"/>
      <c r="BYJ64" s="233"/>
      <c r="BYK64" s="233"/>
      <c r="BYL64" s="233"/>
      <c r="BYM64" s="231"/>
      <c r="BYN64" s="231"/>
      <c r="BYO64" s="229"/>
      <c r="BYP64" s="230"/>
      <c r="BYQ64" s="231"/>
      <c r="BYR64" s="232"/>
      <c r="BYS64" s="233"/>
      <c r="BYT64" s="233"/>
      <c r="BYU64" s="233"/>
      <c r="BYV64" s="233"/>
      <c r="BYW64" s="233"/>
      <c r="BYX64" s="233"/>
      <c r="BYY64" s="231"/>
      <c r="BYZ64" s="231"/>
      <c r="BZA64" s="229"/>
      <c r="BZB64" s="230"/>
      <c r="BZC64" s="231"/>
      <c r="BZD64" s="232"/>
      <c r="BZE64" s="233"/>
      <c r="BZF64" s="233"/>
      <c r="BZG64" s="233"/>
      <c r="BZH64" s="233"/>
      <c r="BZI64" s="233"/>
      <c r="BZJ64" s="233"/>
      <c r="BZK64" s="231"/>
      <c r="BZL64" s="231"/>
      <c r="BZM64" s="229"/>
      <c r="BZN64" s="230"/>
      <c r="BZO64" s="231"/>
      <c r="BZP64" s="232"/>
      <c r="BZQ64" s="233"/>
      <c r="BZR64" s="233"/>
      <c r="BZS64" s="233"/>
      <c r="BZT64" s="233"/>
      <c r="BZU64" s="233"/>
      <c r="BZV64" s="233"/>
      <c r="BZW64" s="231"/>
      <c r="BZX64" s="231"/>
      <c r="BZY64" s="229"/>
      <c r="BZZ64" s="230"/>
      <c r="CAA64" s="231"/>
      <c r="CAB64" s="232"/>
      <c r="CAC64" s="233"/>
      <c r="CAD64" s="233"/>
      <c r="CAE64" s="233"/>
      <c r="CAF64" s="233"/>
      <c r="CAG64" s="233"/>
      <c r="CAH64" s="233"/>
      <c r="CAI64" s="231"/>
      <c r="CAJ64" s="231"/>
      <c r="CAK64" s="229"/>
      <c r="CAL64" s="230"/>
      <c r="CAM64" s="231"/>
      <c r="CAN64" s="232"/>
      <c r="CAO64" s="233"/>
      <c r="CAP64" s="233"/>
      <c r="CAQ64" s="233"/>
      <c r="CAR64" s="233"/>
      <c r="CAS64" s="233"/>
      <c r="CAT64" s="233"/>
      <c r="CAU64" s="231"/>
      <c r="CAV64" s="231"/>
      <c r="CAW64" s="229"/>
      <c r="CAX64" s="230"/>
      <c r="CAY64" s="231"/>
      <c r="CAZ64" s="232"/>
      <c r="CBA64" s="233"/>
      <c r="CBB64" s="233"/>
      <c r="CBC64" s="233"/>
      <c r="CBD64" s="233"/>
      <c r="CBE64" s="233"/>
      <c r="CBF64" s="233"/>
      <c r="CBG64" s="231"/>
      <c r="CBH64" s="231"/>
      <c r="CBI64" s="229"/>
      <c r="CBJ64" s="230"/>
      <c r="CBK64" s="231"/>
      <c r="CBL64" s="232"/>
      <c r="CBM64" s="233"/>
      <c r="CBN64" s="233"/>
      <c r="CBO64" s="233"/>
      <c r="CBP64" s="233"/>
      <c r="CBQ64" s="233"/>
      <c r="CBR64" s="233"/>
      <c r="CBS64" s="231"/>
      <c r="CBT64" s="231"/>
      <c r="CBU64" s="229"/>
      <c r="CBV64" s="230"/>
      <c r="CBW64" s="231"/>
      <c r="CBX64" s="232"/>
      <c r="CBY64" s="233"/>
      <c r="CBZ64" s="233"/>
      <c r="CCA64" s="233"/>
      <c r="CCB64" s="233"/>
      <c r="CCC64" s="233"/>
      <c r="CCD64" s="233"/>
      <c r="CCE64" s="231"/>
      <c r="CCF64" s="231"/>
      <c r="CCG64" s="229"/>
      <c r="CCH64" s="230"/>
      <c r="CCI64" s="231"/>
      <c r="CCJ64" s="232"/>
      <c r="CCK64" s="233"/>
      <c r="CCL64" s="233"/>
      <c r="CCM64" s="233"/>
      <c r="CCN64" s="233"/>
      <c r="CCO64" s="233"/>
      <c r="CCP64" s="233"/>
      <c r="CCQ64" s="231"/>
      <c r="CCR64" s="231"/>
      <c r="CCS64" s="229"/>
      <c r="CCT64" s="230"/>
      <c r="CCU64" s="231"/>
      <c r="CCV64" s="232"/>
      <c r="CCW64" s="233"/>
      <c r="CCX64" s="233"/>
      <c r="CCY64" s="233"/>
      <c r="CCZ64" s="233"/>
      <c r="CDA64" s="233"/>
      <c r="CDB64" s="233"/>
      <c r="CDC64" s="231"/>
      <c r="CDD64" s="231"/>
      <c r="CDE64" s="229"/>
      <c r="CDF64" s="230"/>
      <c r="CDG64" s="231"/>
      <c r="CDH64" s="232"/>
      <c r="CDI64" s="233"/>
      <c r="CDJ64" s="233"/>
      <c r="CDK64" s="233"/>
      <c r="CDL64" s="233"/>
      <c r="CDM64" s="233"/>
      <c r="CDN64" s="233"/>
      <c r="CDO64" s="231"/>
      <c r="CDP64" s="231"/>
      <c r="CDQ64" s="229"/>
      <c r="CDR64" s="230"/>
      <c r="CDS64" s="231"/>
      <c r="CDT64" s="232"/>
      <c r="CDU64" s="233"/>
      <c r="CDV64" s="233"/>
      <c r="CDW64" s="233"/>
      <c r="CDX64" s="233"/>
      <c r="CDY64" s="233"/>
      <c r="CDZ64" s="233"/>
      <c r="CEA64" s="231"/>
      <c r="CEB64" s="231"/>
      <c r="CEC64" s="229"/>
      <c r="CED64" s="230"/>
      <c r="CEE64" s="231"/>
      <c r="CEF64" s="232"/>
      <c r="CEG64" s="233"/>
      <c r="CEH64" s="233"/>
      <c r="CEI64" s="233"/>
      <c r="CEJ64" s="233"/>
      <c r="CEK64" s="233"/>
      <c r="CEL64" s="233"/>
      <c r="CEM64" s="231"/>
      <c r="CEN64" s="231"/>
      <c r="CEO64" s="229"/>
      <c r="CEP64" s="230"/>
      <c r="CEQ64" s="231"/>
      <c r="CER64" s="232"/>
      <c r="CES64" s="233"/>
      <c r="CET64" s="233"/>
      <c r="CEU64" s="233"/>
      <c r="CEV64" s="233"/>
      <c r="CEW64" s="233"/>
      <c r="CEX64" s="233"/>
      <c r="CEY64" s="231"/>
      <c r="CEZ64" s="231"/>
      <c r="CFA64" s="229"/>
      <c r="CFB64" s="230"/>
      <c r="CFC64" s="231"/>
      <c r="CFD64" s="232"/>
      <c r="CFE64" s="233"/>
      <c r="CFF64" s="233"/>
      <c r="CFG64" s="233"/>
      <c r="CFH64" s="233"/>
      <c r="CFI64" s="233"/>
      <c r="CFJ64" s="233"/>
      <c r="CFK64" s="231"/>
      <c r="CFL64" s="231"/>
      <c r="CFM64" s="229"/>
      <c r="CFN64" s="230"/>
      <c r="CFO64" s="231"/>
      <c r="CFP64" s="232"/>
      <c r="CFQ64" s="233"/>
      <c r="CFR64" s="233"/>
      <c r="CFS64" s="233"/>
      <c r="CFT64" s="233"/>
      <c r="CFU64" s="233"/>
      <c r="CFV64" s="233"/>
      <c r="CFW64" s="231"/>
      <c r="CFX64" s="231"/>
      <c r="CFY64" s="229"/>
      <c r="CFZ64" s="230"/>
      <c r="CGA64" s="231"/>
      <c r="CGB64" s="232"/>
      <c r="CGC64" s="233"/>
      <c r="CGD64" s="233"/>
      <c r="CGE64" s="233"/>
      <c r="CGF64" s="233"/>
      <c r="CGG64" s="233"/>
      <c r="CGH64" s="233"/>
      <c r="CGI64" s="231"/>
      <c r="CGJ64" s="231"/>
      <c r="CGK64" s="229"/>
      <c r="CGL64" s="230"/>
      <c r="CGM64" s="231"/>
      <c r="CGN64" s="232"/>
      <c r="CGO64" s="233"/>
      <c r="CGP64" s="233"/>
      <c r="CGQ64" s="233"/>
      <c r="CGR64" s="233"/>
      <c r="CGS64" s="233"/>
      <c r="CGT64" s="233"/>
      <c r="CGU64" s="231"/>
      <c r="CGV64" s="231"/>
      <c r="CGW64" s="229"/>
      <c r="CGX64" s="230"/>
      <c r="CGY64" s="231"/>
      <c r="CGZ64" s="232"/>
      <c r="CHA64" s="233"/>
      <c r="CHB64" s="233"/>
      <c r="CHC64" s="233"/>
      <c r="CHD64" s="233"/>
      <c r="CHE64" s="233"/>
      <c r="CHF64" s="233"/>
      <c r="CHG64" s="231"/>
      <c r="CHH64" s="231"/>
      <c r="CHI64" s="229"/>
      <c r="CHJ64" s="230"/>
      <c r="CHK64" s="231"/>
      <c r="CHL64" s="232"/>
      <c r="CHM64" s="233"/>
      <c r="CHN64" s="233"/>
      <c r="CHO64" s="233"/>
      <c r="CHP64" s="233"/>
      <c r="CHQ64" s="233"/>
      <c r="CHR64" s="233"/>
      <c r="CHS64" s="231"/>
      <c r="CHT64" s="231"/>
      <c r="CHU64" s="229"/>
      <c r="CHV64" s="230"/>
      <c r="CHW64" s="231"/>
      <c r="CHX64" s="232"/>
      <c r="CHY64" s="233"/>
      <c r="CHZ64" s="233"/>
      <c r="CIA64" s="233"/>
      <c r="CIB64" s="233"/>
      <c r="CIC64" s="233"/>
      <c r="CID64" s="233"/>
      <c r="CIE64" s="231"/>
      <c r="CIF64" s="231"/>
      <c r="CIG64" s="229"/>
      <c r="CIH64" s="230"/>
      <c r="CII64" s="231"/>
      <c r="CIJ64" s="232"/>
      <c r="CIK64" s="233"/>
      <c r="CIL64" s="233"/>
      <c r="CIM64" s="233"/>
      <c r="CIN64" s="233"/>
      <c r="CIO64" s="233"/>
      <c r="CIP64" s="233"/>
      <c r="CIQ64" s="231"/>
      <c r="CIR64" s="231"/>
      <c r="CIS64" s="229"/>
      <c r="CIT64" s="230"/>
      <c r="CIU64" s="231"/>
      <c r="CIV64" s="232"/>
      <c r="CIW64" s="233"/>
      <c r="CIX64" s="233"/>
      <c r="CIY64" s="233"/>
      <c r="CIZ64" s="233"/>
      <c r="CJA64" s="233"/>
      <c r="CJB64" s="233"/>
      <c r="CJC64" s="231"/>
      <c r="CJD64" s="231"/>
      <c r="CJE64" s="229"/>
      <c r="CJF64" s="230"/>
      <c r="CJG64" s="231"/>
      <c r="CJH64" s="232"/>
      <c r="CJI64" s="233"/>
      <c r="CJJ64" s="233"/>
      <c r="CJK64" s="233"/>
      <c r="CJL64" s="233"/>
      <c r="CJM64" s="233"/>
      <c r="CJN64" s="233"/>
      <c r="CJO64" s="231"/>
      <c r="CJP64" s="231"/>
      <c r="CJQ64" s="229"/>
      <c r="CJR64" s="230"/>
      <c r="CJS64" s="231"/>
      <c r="CJT64" s="232"/>
      <c r="CJU64" s="233"/>
      <c r="CJV64" s="233"/>
      <c r="CJW64" s="233"/>
      <c r="CJX64" s="233"/>
      <c r="CJY64" s="233"/>
      <c r="CJZ64" s="233"/>
      <c r="CKA64" s="231"/>
      <c r="CKB64" s="231"/>
      <c r="CKC64" s="229"/>
      <c r="CKD64" s="230"/>
      <c r="CKE64" s="231"/>
      <c r="CKF64" s="232"/>
      <c r="CKG64" s="233"/>
      <c r="CKH64" s="233"/>
      <c r="CKI64" s="233"/>
      <c r="CKJ64" s="233"/>
      <c r="CKK64" s="233"/>
      <c r="CKL64" s="233"/>
      <c r="CKM64" s="231"/>
      <c r="CKN64" s="231"/>
      <c r="CKO64" s="229"/>
      <c r="CKP64" s="230"/>
      <c r="CKQ64" s="231"/>
      <c r="CKR64" s="232"/>
      <c r="CKS64" s="233"/>
      <c r="CKT64" s="233"/>
      <c r="CKU64" s="233"/>
      <c r="CKV64" s="233"/>
      <c r="CKW64" s="233"/>
      <c r="CKX64" s="233"/>
      <c r="CKY64" s="231"/>
      <c r="CKZ64" s="231"/>
      <c r="CLA64" s="229"/>
      <c r="CLB64" s="230"/>
      <c r="CLC64" s="231"/>
      <c r="CLD64" s="232"/>
      <c r="CLE64" s="233"/>
      <c r="CLF64" s="233"/>
      <c r="CLG64" s="233"/>
      <c r="CLH64" s="233"/>
      <c r="CLI64" s="233"/>
      <c r="CLJ64" s="233"/>
      <c r="CLK64" s="231"/>
      <c r="CLL64" s="231"/>
      <c r="CLM64" s="229"/>
      <c r="CLN64" s="230"/>
      <c r="CLO64" s="231"/>
      <c r="CLP64" s="232"/>
      <c r="CLQ64" s="233"/>
      <c r="CLR64" s="233"/>
      <c r="CLS64" s="233"/>
      <c r="CLT64" s="233"/>
      <c r="CLU64" s="233"/>
      <c r="CLV64" s="233"/>
      <c r="CLW64" s="231"/>
      <c r="CLX64" s="231"/>
      <c r="CLY64" s="229"/>
      <c r="CLZ64" s="230"/>
      <c r="CMA64" s="231"/>
      <c r="CMB64" s="232"/>
      <c r="CMC64" s="233"/>
      <c r="CMD64" s="233"/>
      <c r="CME64" s="233"/>
      <c r="CMF64" s="233"/>
      <c r="CMG64" s="233"/>
      <c r="CMH64" s="233"/>
      <c r="CMI64" s="231"/>
      <c r="CMJ64" s="231"/>
      <c r="CMK64" s="229"/>
      <c r="CML64" s="230"/>
      <c r="CMM64" s="231"/>
      <c r="CMN64" s="232"/>
      <c r="CMO64" s="233"/>
      <c r="CMP64" s="233"/>
      <c r="CMQ64" s="233"/>
      <c r="CMR64" s="233"/>
      <c r="CMS64" s="233"/>
      <c r="CMT64" s="233"/>
      <c r="CMU64" s="231"/>
      <c r="CMV64" s="231"/>
      <c r="CMW64" s="229"/>
      <c r="CMX64" s="230"/>
      <c r="CMY64" s="231"/>
      <c r="CMZ64" s="232"/>
      <c r="CNA64" s="233"/>
      <c r="CNB64" s="233"/>
      <c r="CNC64" s="233"/>
      <c r="CND64" s="233"/>
      <c r="CNE64" s="233"/>
      <c r="CNF64" s="233"/>
      <c r="CNG64" s="231"/>
      <c r="CNH64" s="231"/>
      <c r="CNI64" s="229"/>
      <c r="CNJ64" s="230"/>
      <c r="CNK64" s="231"/>
      <c r="CNL64" s="232"/>
      <c r="CNM64" s="233"/>
      <c r="CNN64" s="233"/>
      <c r="CNO64" s="233"/>
      <c r="CNP64" s="233"/>
      <c r="CNQ64" s="233"/>
      <c r="CNR64" s="233"/>
      <c r="CNS64" s="231"/>
      <c r="CNT64" s="231"/>
      <c r="CNU64" s="229"/>
      <c r="CNV64" s="230"/>
      <c r="CNW64" s="231"/>
      <c r="CNX64" s="232"/>
      <c r="CNY64" s="233"/>
      <c r="CNZ64" s="233"/>
      <c r="COA64" s="233"/>
      <c r="COB64" s="233"/>
      <c r="COC64" s="233"/>
      <c r="COD64" s="233"/>
      <c r="COE64" s="231"/>
      <c r="COF64" s="231"/>
      <c r="COG64" s="229"/>
      <c r="COH64" s="230"/>
      <c r="COI64" s="231"/>
      <c r="COJ64" s="232"/>
      <c r="COK64" s="233"/>
      <c r="COL64" s="233"/>
      <c r="COM64" s="233"/>
      <c r="CON64" s="233"/>
      <c r="COO64" s="233"/>
      <c r="COP64" s="233"/>
      <c r="COQ64" s="231"/>
      <c r="COR64" s="231"/>
      <c r="COS64" s="229"/>
      <c r="COT64" s="230"/>
      <c r="COU64" s="231"/>
      <c r="COV64" s="232"/>
      <c r="COW64" s="233"/>
      <c r="COX64" s="233"/>
      <c r="COY64" s="233"/>
      <c r="COZ64" s="233"/>
      <c r="CPA64" s="233"/>
      <c r="CPB64" s="233"/>
      <c r="CPC64" s="231"/>
      <c r="CPD64" s="231"/>
      <c r="CPE64" s="229"/>
      <c r="CPF64" s="230"/>
      <c r="CPG64" s="231"/>
      <c r="CPH64" s="232"/>
      <c r="CPI64" s="233"/>
      <c r="CPJ64" s="233"/>
      <c r="CPK64" s="233"/>
      <c r="CPL64" s="233"/>
      <c r="CPM64" s="233"/>
      <c r="CPN64" s="233"/>
      <c r="CPO64" s="231"/>
      <c r="CPP64" s="231"/>
      <c r="CPQ64" s="229"/>
      <c r="CPR64" s="230"/>
      <c r="CPS64" s="231"/>
      <c r="CPT64" s="232"/>
      <c r="CPU64" s="233"/>
      <c r="CPV64" s="233"/>
      <c r="CPW64" s="233"/>
      <c r="CPX64" s="233"/>
      <c r="CPY64" s="233"/>
      <c r="CPZ64" s="233"/>
      <c r="CQA64" s="231"/>
      <c r="CQB64" s="231"/>
      <c r="CQC64" s="229"/>
      <c r="CQD64" s="230"/>
      <c r="CQE64" s="231"/>
      <c r="CQF64" s="232"/>
      <c r="CQG64" s="233"/>
      <c r="CQH64" s="233"/>
      <c r="CQI64" s="233"/>
      <c r="CQJ64" s="233"/>
      <c r="CQK64" s="233"/>
      <c r="CQL64" s="233"/>
      <c r="CQM64" s="231"/>
      <c r="CQN64" s="231"/>
      <c r="CQO64" s="229"/>
      <c r="CQP64" s="230"/>
      <c r="CQQ64" s="231"/>
      <c r="CQR64" s="232"/>
      <c r="CQS64" s="233"/>
      <c r="CQT64" s="233"/>
      <c r="CQU64" s="233"/>
      <c r="CQV64" s="233"/>
      <c r="CQW64" s="233"/>
      <c r="CQX64" s="233"/>
      <c r="CQY64" s="231"/>
      <c r="CQZ64" s="231"/>
      <c r="CRA64" s="229"/>
      <c r="CRB64" s="230"/>
      <c r="CRC64" s="231"/>
      <c r="CRD64" s="232"/>
      <c r="CRE64" s="233"/>
      <c r="CRF64" s="233"/>
      <c r="CRG64" s="233"/>
      <c r="CRH64" s="233"/>
      <c r="CRI64" s="233"/>
      <c r="CRJ64" s="233"/>
      <c r="CRK64" s="231"/>
      <c r="CRL64" s="231"/>
      <c r="CRM64" s="229"/>
      <c r="CRN64" s="230"/>
      <c r="CRO64" s="231"/>
      <c r="CRP64" s="232"/>
      <c r="CRQ64" s="233"/>
      <c r="CRR64" s="233"/>
      <c r="CRS64" s="233"/>
      <c r="CRT64" s="233"/>
      <c r="CRU64" s="233"/>
      <c r="CRV64" s="233"/>
      <c r="CRW64" s="231"/>
      <c r="CRX64" s="231"/>
      <c r="CRY64" s="229"/>
      <c r="CRZ64" s="230"/>
      <c r="CSA64" s="231"/>
      <c r="CSB64" s="232"/>
      <c r="CSC64" s="233"/>
      <c r="CSD64" s="233"/>
      <c r="CSE64" s="233"/>
      <c r="CSF64" s="233"/>
      <c r="CSG64" s="233"/>
      <c r="CSH64" s="233"/>
      <c r="CSI64" s="231"/>
      <c r="CSJ64" s="231"/>
      <c r="CSK64" s="229"/>
      <c r="CSL64" s="230"/>
      <c r="CSM64" s="231"/>
      <c r="CSN64" s="232"/>
      <c r="CSO64" s="233"/>
      <c r="CSP64" s="233"/>
      <c r="CSQ64" s="233"/>
      <c r="CSR64" s="233"/>
      <c r="CSS64" s="233"/>
      <c r="CST64" s="233"/>
      <c r="CSU64" s="231"/>
      <c r="CSV64" s="231"/>
      <c r="CSW64" s="229"/>
      <c r="CSX64" s="230"/>
      <c r="CSY64" s="231"/>
      <c r="CSZ64" s="232"/>
      <c r="CTA64" s="233"/>
      <c r="CTB64" s="233"/>
      <c r="CTC64" s="233"/>
      <c r="CTD64" s="233"/>
      <c r="CTE64" s="233"/>
      <c r="CTF64" s="233"/>
      <c r="CTG64" s="231"/>
      <c r="CTH64" s="231"/>
      <c r="CTI64" s="229"/>
      <c r="CTJ64" s="230"/>
      <c r="CTK64" s="231"/>
      <c r="CTL64" s="232"/>
      <c r="CTM64" s="233"/>
      <c r="CTN64" s="233"/>
      <c r="CTO64" s="233"/>
      <c r="CTP64" s="233"/>
      <c r="CTQ64" s="233"/>
      <c r="CTR64" s="233"/>
      <c r="CTS64" s="231"/>
      <c r="CTT64" s="231"/>
      <c r="CTU64" s="229"/>
      <c r="CTV64" s="230"/>
      <c r="CTW64" s="231"/>
      <c r="CTX64" s="232"/>
      <c r="CTY64" s="233"/>
      <c r="CTZ64" s="233"/>
      <c r="CUA64" s="233"/>
      <c r="CUB64" s="233"/>
      <c r="CUC64" s="233"/>
      <c r="CUD64" s="233"/>
      <c r="CUE64" s="231"/>
      <c r="CUF64" s="231"/>
      <c r="CUG64" s="229"/>
      <c r="CUH64" s="230"/>
      <c r="CUI64" s="231"/>
      <c r="CUJ64" s="232"/>
      <c r="CUK64" s="233"/>
      <c r="CUL64" s="233"/>
      <c r="CUM64" s="233"/>
      <c r="CUN64" s="233"/>
      <c r="CUO64" s="233"/>
      <c r="CUP64" s="233"/>
      <c r="CUQ64" s="231"/>
      <c r="CUR64" s="231"/>
      <c r="CUS64" s="229"/>
      <c r="CUT64" s="230"/>
      <c r="CUU64" s="231"/>
      <c r="CUV64" s="232"/>
      <c r="CUW64" s="233"/>
      <c r="CUX64" s="233"/>
      <c r="CUY64" s="233"/>
      <c r="CUZ64" s="233"/>
      <c r="CVA64" s="233"/>
      <c r="CVB64" s="233"/>
      <c r="CVC64" s="231"/>
      <c r="CVD64" s="231"/>
      <c r="CVE64" s="229"/>
      <c r="CVF64" s="230"/>
      <c r="CVG64" s="231"/>
      <c r="CVH64" s="232"/>
      <c r="CVI64" s="233"/>
      <c r="CVJ64" s="233"/>
      <c r="CVK64" s="233"/>
      <c r="CVL64" s="233"/>
      <c r="CVM64" s="233"/>
      <c r="CVN64" s="233"/>
      <c r="CVO64" s="231"/>
      <c r="CVP64" s="231"/>
      <c r="CVQ64" s="229"/>
      <c r="CVR64" s="230"/>
      <c r="CVS64" s="231"/>
      <c r="CVT64" s="232"/>
      <c r="CVU64" s="233"/>
      <c r="CVV64" s="233"/>
      <c r="CVW64" s="233"/>
      <c r="CVX64" s="233"/>
      <c r="CVY64" s="233"/>
      <c r="CVZ64" s="233"/>
      <c r="CWA64" s="231"/>
      <c r="CWB64" s="231"/>
      <c r="CWC64" s="229"/>
      <c r="CWD64" s="230"/>
      <c r="CWE64" s="231"/>
      <c r="CWF64" s="232"/>
      <c r="CWG64" s="233"/>
      <c r="CWH64" s="233"/>
      <c r="CWI64" s="233"/>
      <c r="CWJ64" s="233"/>
      <c r="CWK64" s="233"/>
      <c r="CWL64" s="233"/>
      <c r="CWM64" s="231"/>
      <c r="CWN64" s="231"/>
      <c r="CWO64" s="229"/>
      <c r="CWP64" s="230"/>
      <c r="CWQ64" s="231"/>
      <c r="CWR64" s="232"/>
      <c r="CWS64" s="233"/>
      <c r="CWT64" s="233"/>
      <c r="CWU64" s="233"/>
      <c r="CWV64" s="233"/>
      <c r="CWW64" s="233"/>
      <c r="CWX64" s="233"/>
      <c r="CWY64" s="231"/>
      <c r="CWZ64" s="231"/>
      <c r="CXA64" s="229"/>
      <c r="CXB64" s="230"/>
      <c r="CXC64" s="231"/>
      <c r="CXD64" s="232"/>
      <c r="CXE64" s="233"/>
      <c r="CXF64" s="233"/>
      <c r="CXG64" s="233"/>
      <c r="CXH64" s="233"/>
      <c r="CXI64" s="233"/>
      <c r="CXJ64" s="233"/>
      <c r="CXK64" s="231"/>
      <c r="CXL64" s="231"/>
      <c r="CXM64" s="229"/>
      <c r="CXN64" s="230"/>
      <c r="CXO64" s="231"/>
      <c r="CXP64" s="232"/>
      <c r="CXQ64" s="233"/>
      <c r="CXR64" s="233"/>
      <c r="CXS64" s="233"/>
      <c r="CXT64" s="233"/>
      <c r="CXU64" s="233"/>
      <c r="CXV64" s="233"/>
      <c r="CXW64" s="231"/>
      <c r="CXX64" s="231"/>
      <c r="CXY64" s="229"/>
      <c r="CXZ64" s="230"/>
      <c r="CYA64" s="231"/>
      <c r="CYB64" s="232"/>
      <c r="CYC64" s="233"/>
      <c r="CYD64" s="233"/>
      <c r="CYE64" s="233"/>
      <c r="CYF64" s="233"/>
      <c r="CYG64" s="233"/>
      <c r="CYH64" s="233"/>
      <c r="CYI64" s="231"/>
      <c r="CYJ64" s="231"/>
      <c r="CYK64" s="229"/>
      <c r="CYL64" s="230"/>
      <c r="CYM64" s="231"/>
      <c r="CYN64" s="232"/>
      <c r="CYO64" s="233"/>
      <c r="CYP64" s="233"/>
      <c r="CYQ64" s="233"/>
      <c r="CYR64" s="233"/>
      <c r="CYS64" s="233"/>
      <c r="CYT64" s="233"/>
      <c r="CYU64" s="231"/>
      <c r="CYV64" s="231"/>
      <c r="CYW64" s="229"/>
      <c r="CYX64" s="230"/>
      <c r="CYY64" s="231"/>
      <c r="CYZ64" s="232"/>
      <c r="CZA64" s="233"/>
      <c r="CZB64" s="233"/>
      <c r="CZC64" s="233"/>
      <c r="CZD64" s="233"/>
      <c r="CZE64" s="233"/>
      <c r="CZF64" s="233"/>
      <c r="CZG64" s="231"/>
      <c r="CZH64" s="231"/>
      <c r="CZI64" s="229"/>
      <c r="CZJ64" s="230"/>
      <c r="CZK64" s="231"/>
      <c r="CZL64" s="232"/>
      <c r="CZM64" s="233"/>
      <c r="CZN64" s="233"/>
      <c r="CZO64" s="233"/>
      <c r="CZP64" s="233"/>
      <c r="CZQ64" s="233"/>
      <c r="CZR64" s="233"/>
      <c r="CZS64" s="231"/>
      <c r="CZT64" s="231"/>
      <c r="CZU64" s="229"/>
      <c r="CZV64" s="230"/>
      <c r="CZW64" s="231"/>
      <c r="CZX64" s="232"/>
      <c r="CZY64" s="233"/>
      <c r="CZZ64" s="233"/>
      <c r="DAA64" s="233"/>
      <c r="DAB64" s="233"/>
      <c r="DAC64" s="233"/>
      <c r="DAD64" s="233"/>
      <c r="DAE64" s="231"/>
      <c r="DAF64" s="231"/>
      <c r="DAG64" s="229"/>
      <c r="DAH64" s="230"/>
      <c r="DAI64" s="231"/>
      <c r="DAJ64" s="232"/>
      <c r="DAK64" s="233"/>
      <c r="DAL64" s="233"/>
      <c r="DAM64" s="233"/>
      <c r="DAN64" s="233"/>
      <c r="DAO64" s="233"/>
      <c r="DAP64" s="233"/>
      <c r="DAQ64" s="231"/>
      <c r="DAR64" s="231"/>
      <c r="DAS64" s="229"/>
      <c r="DAT64" s="230"/>
      <c r="DAU64" s="231"/>
      <c r="DAV64" s="232"/>
      <c r="DAW64" s="233"/>
      <c r="DAX64" s="233"/>
      <c r="DAY64" s="233"/>
      <c r="DAZ64" s="233"/>
      <c r="DBA64" s="233"/>
      <c r="DBB64" s="233"/>
      <c r="DBC64" s="231"/>
      <c r="DBD64" s="231"/>
      <c r="DBE64" s="229"/>
      <c r="DBF64" s="230"/>
      <c r="DBG64" s="231"/>
      <c r="DBH64" s="232"/>
      <c r="DBI64" s="233"/>
      <c r="DBJ64" s="233"/>
      <c r="DBK64" s="233"/>
      <c r="DBL64" s="233"/>
      <c r="DBM64" s="233"/>
      <c r="DBN64" s="233"/>
      <c r="DBO64" s="231"/>
      <c r="DBP64" s="231"/>
      <c r="DBQ64" s="229"/>
      <c r="DBR64" s="230"/>
      <c r="DBS64" s="231"/>
      <c r="DBT64" s="232"/>
      <c r="DBU64" s="233"/>
      <c r="DBV64" s="233"/>
      <c r="DBW64" s="233"/>
      <c r="DBX64" s="233"/>
      <c r="DBY64" s="233"/>
      <c r="DBZ64" s="233"/>
      <c r="DCA64" s="231"/>
      <c r="DCB64" s="231"/>
      <c r="DCC64" s="229"/>
      <c r="DCD64" s="230"/>
      <c r="DCE64" s="231"/>
      <c r="DCF64" s="232"/>
      <c r="DCG64" s="233"/>
      <c r="DCH64" s="233"/>
      <c r="DCI64" s="233"/>
      <c r="DCJ64" s="233"/>
      <c r="DCK64" s="233"/>
      <c r="DCL64" s="233"/>
      <c r="DCM64" s="231"/>
      <c r="DCN64" s="231"/>
      <c r="DCO64" s="229"/>
      <c r="DCP64" s="230"/>
      <c r="DCQ64" s="231"/>
      <c r="DCR64" s="232"/>
      <c r="DCS64" s="233"/>
      <c r="DCT64" s="233"/>
      <c r="DCU64" s="233"/>
      <c r="DCV64" s="233"/>
      <c r="DCW64" s="233"/>
      <c r="DCX64" s="233"/>
      <c r="DCY64" s="231"/>
      <c r="DCZ64" s="231"/>
      <c r="DDA64" s="229"/>
      <c r="DDB64" s="230"/>
      <c r="DDC64" s="231"/>
      <c r="DDD64" s="232"/>
      <c r="DDE64" s="233"/>
      <c r="DDF64" s="233"/>
      <c r="DDG64" s="233"/>
      <c r="DDH64" s="233"/>
      <c r="DDI64" s="233"/>
      <c r="DDJ64" s="233"/>
      <c r="DDK64" s="231"/>
      <c r="DDL64" s="231"/>
      <c r="DDM64" s="229"/>
      <c r="DDN64" s="230"/>
      <c r="DDO64" s="231"/>
      <c r="DDP64" s="232"/>
      <c r="DDQ64" s="233"/>
      <c r="DDR64" s="233"/>
      <c r="DDS64" s="233"/>
      <c r="DDT64" s="233"/>
      <c r="DDU64" s="233"/>
      <c r="DDV64" s="233"/>
      <c r="DDW64" s="231"/>
      <c r="DDX64" s="231"/>
      <c r="DDY64" s="229"/>
      <c r="DDZ64" s="230"/>
      <c r="DEA64" s="231"/>
      <c r="DEB64" s="232"/>
      <c r="DEC64" s="233"/>
      <c r="DED64" s="233"/>
      <c r="DEE64" s="233"/>
      <c r="DEF64" s="233"/>
      <c r="DEG64" s="233"/>
      <c r="DEH64" s="233"/>
      <c r="DEI64" s="231"/>
      <c r="DEJ64" s="231"/>
      <c r="DEK64" s="229"/>
      <c r="DEL64" s="230"/>
      <c r="DEM64" s="231"/>
      <c r="DEN64" s="232"/>
      <c r="DEO64" s="233"/>
      <c r="DEP64" s="233"/>
      <c r="DEQ64" s="233"/>
      <c r="DER64" s="233"/>
      <c r="DES64" s="233"/>
      <c r="DET64" s="233"/>
      <c r="DEU64" s="231"/>
      <c r="DEV64" s="231"/>
      <c r="DEW64" s="229"/>
      <c r="DEX64" s="230"/>
      <c r="DEY64" s="231"/>
      <c r="DEZ64" s="232"/>
      <c r="DFA64" s="233"/>
      <c r="DFB64" s="233"/>
      <c r="DFC64" s="233"/>
      <c r="DFD64" s="233"/>
      <c r="DFE64" s="233"/>
      <c r="DFF64" s="233"/>
      <c r="DFG64" s="231"/>
      <c r="DFH64" s="231"/>
      <c r="DFI64" s="229"/>
      <c r="DFJ64" s="230"/>
      <c r="DFK64" s="231"/>
      <c r="DFL64" s="232"/>
      <c r="DFM64" s="233"/>
      <c r="DFN64" s="233"/>
      <c r="DFO64" s="233"/>
      <c r="DFP64" s="233"/>
      <c r="DFQ64" s="233"/>
      <c r="DFR64" s="233"/>
      <c r="DFS64" s="231"/>
      <c r="DFT64" s="231"/>
      <c r="DFU64" s="229"/>
      <c r="DFV64" s="230"/>
      <c r="DFW64" s="231"/>
      <c r="DFX64" s="232"/>
      <c r="DFY64" s="233"/>
      <c r="DFZ64" s="233"/>
      <c r="DGA64" s="233"/>
      <c r="DGB64" s="233"/>
      <c r="DGC64" s="233"/>
      <c r="DGD64" s="233"/>
      <c r="DGE64" s="231"/>
      <c r="DGF64" s="231"/>
      <c r="DGG64" s="229"/>
      <c r="DGH64" s="230"/>
      <c r="DGI64" s="231"/>
      <c r="DGJ64" s="232"/>
      <c r="DGK64" s="233"/>
      <c r="DGL64" s="233"/>
      <c r="DGM64" s="233"/>
      <c r="DGN64" s="233"/>
      <c r="DGO64" s="233"/>
      <c r="DGP64" s="233"/>
      <c r="DGQ64" s="231"/>
      <c r="DGR64" s="231"/>
      <c r="DGS64" s="229"/>
      <c r="DGT64" s="230"/>
      <c r="DGU64" s="231"/>
      <c r="DGV64" s="232"/>
      <c r="DGW64" s="233"/>
      <c r="DGX64" s="233"/>
      <c r="DGY64" s="233"/>
      <c r="DGZ64" s="233"/>
      <c r="DHA64" s="233"/>
      <c r="DHB64" s="233"/>
      <c r="DHC64" s="231"/>
      <c r="DHD64" s="231"/>
      <c r="DHE64" s="229"/>
      <c r="DHF64" s="230"/>
      <c r="DHG64" s="231"/>
      <c r="DHH64" s="232"/>
      <c r="DHI64" s="233"/>
      <c r="DHJ64" s="233"/>
      <c r="DHK64" s="233"/>
      <c r="DHL64" s="233"/>
      <c r="DHM64" s="233"/>
      <c r="DHN64" s="233"/>
      <c r="DHO64" s="231"/>
      <c r="DHP64" s="231"/>
      <c r="DHQ64" s="229"/>
      <c r="DHR64" s="230"/>
      <c r="DHS64" s="231"/>
      <c r="DHT64" s="232"/>
      <c r="DHU64" s="233"/>
      <c r="DHV64" s="233"/>
      <c r="DHW64" s="233"/>
      <c r="DHX64" s="233"/>
      <c r="DHY64" s="233"/>
      <c r="DHZ64" s="233"/>
      <c r="DIA64" s="231"/>
      <c r="DIB64" s="231"/>
      <c r="DIC64" s="229"/>
      <c r="DID64" s="230"/>
      <c r="DIE64" s="231"/>
      <c r="DIF64" s="232"/>
      <c r="DIG64" s="233"/>
      <c r="DIH64" s="233"/>
      <c r="DII64" s="233"/>
      <c r="DIJ64" s="233"/>
      <c r="DIK64" s="233"/>
      <c r="DIL64" s="233"/>
      <c r="DIM64" s="231"/>
      <c r="DIN64" s="231"/>
      <c r="DIO64" s="229"/>
      <c r="DIP64" s="230"/>
      <c r="DIQ64" s="231"/>
      <c r="DIR64" s="232"/>
      <c r="DIS64" s="233"/>
      <c r="DIT64" s="233"/>
      <c r="DIU64" s="233"/>
      <c r="DIV64" s="233"/>
      <c r="DIW64" s="233"/>
      <c r="DIX64" s="233"/>
      <c r="DIY64" s="231"/>
      <c r="DIZ64" s="231"/>
      <c r="DJA64" s="229"/>
      <c r="DJB64" s="230"/>
      <c r="DJC64" s="231"/>
      <c r="DJD64" s="232"/>
      <c r="DJE64" s="233"/>
      <c r="DJF64" s="233"/>
      <c r="DJG64" s="233"/>
      <c r="DJH64" s="233"/>
      <c r="DJI64" s="233"/>
      <c r="DJJ64" s="233"/>
      <c r="DJK64" s="231"/>
      <c r="DJL64" s="231"/>
      <c r="DJM64" s="229"/>
      <c r="DJN64" s="230"/>
      <c r="DJO64" s="231"/>
      <c r="DJP64" s="232"/>
      <c r="DJQ64" s="233"/>
      <c r="DJR64" s="233"/>
      <c r="DJS64" s="233"/>
      <c r="DJT64" s="233"/>
      <c r="DJU64" s="233"/>
      <c r="DJV64" s="233"/>
      <c r="DJW64" s="231"/>
      <c r="DJX64" s="231"/>
      <c r="DJY64" s="229"/>
      <c r="DJZ64" s="230"/>
      <c r="DKA64" s="231"/>
      <c r="DKB64" s="232"/>
      <c r="DKC64" s="233"/>
      <c r="DKD64" s="233"/>
      <c r="DKE64" s="233"/>
      <c r="DKF64" s="233"/>
      <c r="DKG64" s="233"/>
      <c r="DKH64" s="233"/>
      <c r="DKI64" s="231"/>
      <c r="DKJ64" s="231"/>
      <c r="DKK64" s="229"/>
      <c r="DKL64" s="230"/>
      <c r="DKM64" s="231"/>
      <c r="DKN64" s="232"/>
      <c r="DKO64" s="233"/>
      <c r="DKP64" s="233"/>
      <c r="DKQ64" s="233"/>
      <c r="DKR64" s="233"/>
      <c r="DKS64" s="233"/>
      <c r="DKT64" s="233"/>
      <c r="DKU64" s="231"/>
      <c r="DKV64" s="231"/>
      <c r="DKW64" s="229"/>
      <c r="DKX64" s="230"/>
      <c r="DKY64" s="231"/>
      <c r="DKZ64" s="232"/>
      <c r="DLA64" s="233"/>
      <c r="DLB64" s="233"/>
      <c r="DLC64" s="233"/>
      <c r="DLD64" s="233"/>
      <c r="DLE64" s="233"/>
      <c r="DLF64" s="233"/>
      <c r="DLG64" s="231"/>
      <c r="DLH64" s="231"/>
      <c r="DLI64" s="229"/>
      <c r="DLJ64" s="230"/>
      <c r="DLK64" s="231"/>
      <c r="DLL64" s="232"/>
      <c r="DLM64" s="233"/>
      <c r="DLN64" s="233"/>
      <c r="DLO64" s="233"/>
      <c r="DLP64" s="233"/>
      <c r="DLQ64" s="233"/>
      <c r="DLR64" s="233"/>
      <c r="DLS64" s="231"/>
      <c r="DLT64" s="231"/>
      <c r="DLU64" s="229"/>
      <c r="DLV64" s="230"/>
      <c r="DLW64" s="231"/>
      <c r="DLX64" s="232"/>
      <c r="DLY64" s="233"/>
      <c r="DLZ64" s="233"/>
      <c r="DMA64" s="233"/>
      <c r="DMB64" s="233"/>
      <c r="DMC64" s="233"/>
      <c r="DMD64" s="233"/>
      <c r="DME64" s="231"/>
      <c r="DMF64" s="231"/>
      <c r="DMG64" s="229"/>
      <c r="DMH64" s="230"/>
      <c r="DMI64" s="231"/>
      <c r="DMJ64" s="232"/>
      <c r="DMK64" s="233"/>
      <c r="DML64" s="233"/>
      <c r="DMM64" s="233"/>
      <c r="DMN64" s="233"/>
      <c r="DMO64" s="233"/>
      <c r="DMP64" s="233"/>
      <c r="DMQ64" s="231"/>
      <c r="DMR64" s="231"/>
      <c r="DMS64" s="229"/>
      <c r="DMT64" s="230"/>
      <c r="DMU64" s="231"/>
      <c r="DMV64" s="232"/>
      <c r="DMW64" s="233"/>
      <c r="DMX64" s="233"/>
      <c r="DMY64" s="233"/>
      <c r="DMZ64" s="233"/>
      <c r="DNA64" s="233"/>
      <c r="DNB64" s="233"/>
      <c r="DNC64" s="231"/>
      <c r="DND64" s="231"/>
      <c r="DNE64" s="229"/>
      <c r="DNF64" s="230"/>
      <c r="DNG64" s="231"/>
      <c r="DNH64" s="232"/>
      <c r="DNI64" s="233"/>
      <c r="DNJ64" s="233"/>
      <c r="DNK64" s="233"/>
      <c r="DNL64" s="233"/>
      <c r="DNM64" s="233"/>
      <c r="DNN64" s="233"/>
      <c r="DNO64" s="231"/>
      <c r="DNP64" s="231"/>
      <c r="DNQ64" s="229"/>
      <c r="DNR64" s="230"/>
      <c r="DNS64" s="231"/>
      <c r="DNT64" s="232"/>
      <c r="DNU64" s="233"/>
      <c r="DNV64" s="233"/>
      <c r="DNW64" s="233"/>
      <c r="DNX64" s="233"/>
      <c r="DNY64" s="233"/>
      <c r="DNZ64" s="233"/>
      <c r="DOA64" s="231"/>
      <c r="DOB64" s="231"/>
      <c r="DOC64" s="229"/>
      <c r="DOD64" s="230"/>
      <c r="DOE64" s="231"/>
      <c r="DOF64" s="232"/>
      <c r="DOG64" s="233"/>
      <c r="DOH64" s="233"/>
      <c r="DOI64" s="233"/>
      <c r="DOJ64" s="233"/>
      <c r="DOK64" s="233"/>
      <c r="DOL64" s="233"/>
      <c r="DOM64" s="231"/>
      <c r="DON64" s="231"/>
      <c r="DOO64" s="229"/>
      <c r="DOP64" s="230"/>
      <c r="DOQ64" s="231"/>
      <c r="DOR64" s="232"/>
      <c r="DOS64" s="233"/>
      <c r="DOT64" s="233"/>
      <c r="DOU64" s="233"/>
      <c r="DOV64" s="233"/>
      <c r="DOW64" s="233"/>
      <c r="DOX64" s="233"/>
      <c r="DOY64" s="231"/>
      <c r="DOZ64" s="231"/>
      <c r="DPA64" s="229"/>
      <c r="DPB64" s="230"/>
      <c r="DPC64" s="231"/>
      <c r="DPD64" s="232"/>
      <c r="DPE64" s="233"/>
      <c r="DPF64" s="233"/>
      <c r="DPG64" s="233"/>
      <c r="DPH64" s="233"/>
      <c r="DPI64" s="233"/>
      <c r="DPJ64" s="233"/>
      <c r="DPK64" s="231"/>
      <c r="DPL64" s="231"/>
      <c r="DPM64" s="229"/>
      <c r="DPN64" s="230"/>
      <c r="DPO64" s="231"/>
      <c r="DPP64" s="232"/>
      <c r="DPQ64" s="233"/>
      <c r="DPR64" s="233"/>
      <c r="DPS64" s="233"/>
      <c r="DPT64" s="233"/>
      <c r="DPU64" s="233"/>
      <c r="DPV64" s="233"/>
      <c r="DPW64" s="231"/>
      <c r="DPX64" s="231"/>
      <c r="DPY64" s="229"/>
      <c r="DPZ64" s="230"/>
      <c r="DQA64" s="231"/>
      <c r="DQB64" s="232"/>
      <c r="DQC64" s="233"/>
      <c r="DQD64" s="233"/>
      <c r="DQE64" s="233"/>
      <c r="DQF64" s="233"/>
      <c r="DQG64" s="233"/>
      <c r="DQH64" s="233"/>
      <c r="DQI64" s="231"/>
      <c r="DQJ64" s="231"/>
      <c r="DQK64" s="229"/>
      <c r="DQL64" s="230"/>
      <c r="DQM64" s="231"/>
      <c r="DQN64" s="232"/>
      <c r="DQO64" s="233"/>
      <c r="DQP64" s="233"/>
      <c r="DQQ64" s="233"/>
      <c r="DQR64" s="233"/>
      <c r="DQS64" s="233"/>
      <c r="DQT64" s="233"/>
      <c r="DQU64" s="231"/>
      <c r="DQV64" s="231"/>
      <c r="DQW64" s="229"/>
      <c r="DQX64" s="230"/>
      <c r="DQY64" s="231"/>
      <c r="DQZ64" s="232"/>
      <c r="DRA64" s="233"/>
      <c r="DRB64" s="233"/>
      <c r="DRC64" s="233"/>
      <c r="DRD64" s="233"/>
      <c r="DRE64" s="233"/>
      <c r="DRF64" s="233"/>
      <c r="DRG64" s="231"/>
      <c r="DRH64" s="231"/>
      <c r="DRI64" s="229"/>
      <c r="DRJ64" s="230"/>
      <c r="DRK64" s="231"/>
      <c r="DRL64" s="232"/>
      <c r="DRM64" s="233"/>
      <c r="DRN64" s="233"/>
      <c r="DRO64" s="233"/>
      <c r="DRP64" s="233"/>
      <c r="DRQ64" s="233"/>
      <c r="DRR64" s="233"/>
      <c r="DRS64" s="231"/>
      <c r="DRT64" s="231"/>
      <c r="DRU64" s="229"/>
      <c r="DRV64" s="230"/>
      <c r="DRW64" s="231"/>
      <c r="DRX64" s="232"/>
      <c r="DRY64" s="233"/>
      <c r="DRZ64" s="233"/>
      <c r="DSA64" s="233"/>
      <c r="DSB64" s="233"/>
      <c r="DSC64" s="233"/>
      <c r="DSD64" s="233"/>
      <c r="DSE64" s="231"/>
      <c r="DSF64" s="231"/>
      <c r="DSG64" s="229"/>
      <c r="DSH64" s="230"/>
      <c r="DSI64" s="231"/>
      <c r="DSJ64" s="232"/>
      <c r="DSK64" s="233"/>
      <c r="DSL64" s="233"/>
      <c r="DSM64" s="233"/>
      <c r="DSN64" s="233"/>
      <c r="DSO64" s="233"/>
      <c r="DSP64" s="233"/>
      <c r="DSQ64" s="231"/>
      <c r="DSR64" s="231"/>
      <c r="DSS64" s="229"/>
      <c r="DST64" s="230"/>
      <c r="DSU64" s="231"/>
      <c r="DSV64" s="232"/>
      <c r="DSW64" s="233"/>
      <c r="DSX64" s="233"/>
      <c r="DSY64" s="233"/>
      <c r="DSZ64" s="233"/>
      <c r="DTA64" s="233"/>
      <c r="DTB64" s="233"/>
      <c r="DTC64" s="231"/>
      <c r="DTD64" s="231"/>
      <c r="DTE64" s="229"/>
      <c r="DTF64" s="230"/>
      <c r="DTG64" s="231"/>
      <c r="DTH64" s="232"/>
      <c r="DTI64" s="233"/>
      <c r="DTJ64" s="233"/>
      <c r="DTK64" s="233"/>
      <c r="DTL64" s="233"/>
      <c r="DTM64" s="233"/>
      <c r="DTN64" s="233"/>
      <c r="DTO64" s="231"/>
      <c r="DTP64" s="231"/>
      <c r="DTQ64" s="229"/>
      <c r="DTR64" s="230"/>
      <c r="DTS64" s="231"/>
      <c r="DTT64" s="232"/>
      <c r="DTU64" s="233"/>
      <c r="DTV64" s="233"/>
      <c r="DTW64" s="233"/>
      <c r="DTX64" s="233"/>
      <c r="DTY64" s="233"/>
      <c r="DTZ64" s="233"/>
      <c r="DUA64" s="231"/>
      <c r="DUB64" s="231"/>
      <c r="DUC64" s="229"/>
      <c r="DUD64" s="230"/>
      <c r="DUE64" s="231"/>
      <c r="DUF64" s="232"/>
      <c r="DUG64" s="233"/>
      <c r="DUH64" s="233"/>
      <c r="DUI64" s="233"/>
      <c r="DUJ64" s="233"/>
      <c r="DUK64" s="233"/>
      <c r="DUL64" s="233"/>
      <c r="DUM64" s="231"/>
      <c r="DUN64" s="231"/>
      <c r="DUO64" s="229"/>
      <c r="DUP64" s="230"/>
      <c r="DUQ64" s="231"/>
      <c r="DUR64" s="232"/>
      <c r="DUS64" s="233"/>
      <c r="DUT64" s="233"/>
      <c r="DUU64" s="233"/>
      <c r="DUV64" s="233"/>
      <c r="DUW64" s="233"/>
      <c r="DUX64" s="233"/>
      <c r="DUY64" s="231"/>
      <c r="DUZ64" s="231"/>
      <c r="DVA64" s="229"/>
      <c r="DVB64" s="230"/>
      <c r="DVC64" s="231"/>
      <c r="DVD64" s="232"/>
      <c r="DVE64" s="233"/>
      <c r="DVF64" s="233"/>
      <c r="DVG64" s="233"/>
      <c r="DVH64" s="233"/>
      <c r="DVI64" s="233"/>
      <c r="DVJ64" s="233"/>
      <c r="DVK64" s="231"/>
      <c r="DVL64" s="231"/>
      <c r="DVM64" s="229"/>
      <c r="DVN64" s="230"/>
      <c r="DVO64" s="231"/>
      <c r="DVP64" s="232"/>
      <c r="DVQ64" s="233"/>
      <c r="DVR64" s="233"/>
      <c r="DVS64" s="233"/>
      <c r="DVT64" s="233"/>
      <c r="DVU64" s="233"/>
      <c r="DVV64" s="233"/>
      <c r="DVW64" s="231"/>
      <c r="DVX64" s="231"/>
      <c r="DVY64" s="229"/>
      <c r="DVZ64" s="230"/>
      <c r="DWA64" s="231"/>
      <c r="DWB64" s="232"/>
      <c r="DWC64" s="233"/>
      <c r="DWD64" s="233"/>
      <c r="DWE64" s="233"/>
      <c r="DWF64" s="233"/>
      <c r="DWG64" s="233"/>
      <c r="DWH64" s="233"/>
      <c r="DWI64" s="231"/>
      <c r="DWJ64" s="231"/>
      <c r="DWK64" s="229"/>
      <c r="DWL64" s="230"/>
      <c r="DWM64" s="231"/>
      <c r="DWN64" s="232"/>
      <c r="DWO64" s="233"/>
      <c r="DWP64" s="233"/>
      <c r="DWQ64" s="233"/>
      <c r="DWR64" s="233"/>
      <c r="DWS64" s="233"/>
      <c r="DWT64" s="233"/>
      <c r="DWU64" s="231"/>
      <c r="DWV64" s="231"/>
      <c r="DWW64" s="229"/>
      <c r="DWX64" s="230"/>
      <c r="DWY64" s="231"/>
      <c r="DWZ64" s="232"/>
      <c r="DXA64" s="233"/>
      <c r="DXB64" s="233"/>
      <c r="DXC64" s="233"/>
      <c r="DXD64" s="233"/>
      <c r="DXE64" s="233"/>
      <c r="DXF64" s="233"/>
      <c r="DXG64" s="231"/>
      <c r="DXH64" s="231"/>
      <c r="DXI64" s="229"/>
      <c r="DXJ64" s="230"/>
      <c r="DXK64" s="231"/>
      <c r="DXL64" s="232"/>
      <c r="DXM64" s="233"/>
      <c r="DXN64" s="233"/>
      <c r="DXO64" s="233"/>
      <c r="DXP64" s="233"/>
      <c r="DXQ64" s="233"/>
      <c r="DXR64" s="233"/>
      <c r="DXS64" s="231"/>
      <c r="DXT64" s="231"/>
      <c r="DXU64" s="229"/>
      <c r="DXV64" s="230"/>
      <c r="DXW64" s="231"/>
      <c r="DXX64" s="232"/>
      <c r="DXY64" s="233"/>
      <c r="DXZ64" s="233"/>
      <c r="DYA64" s="233"/>
      <c r="DYB64" s="233"/>
      <c r="DYC64" s="233"/>
      <c r="DYD64" s="233"/>
      <c r="DYE64" s="231"/>
      <c r="DYF64" s="231"/>
      <c r="DYG64" s="229"/>
      <c r="DYH64" s="230"/>
      <c r="DYI64" s="231"/>
      <c r="DYJ64" s="232"/>
      <c r="DYK64" s="233"/>
      <c r="DYL64" s="233"/>
      <c r="DYM64" s="233"/>
      <c r="DYN64" s="233"/>
      <c r="DYO64" s="233"/>
      <c r="DYP64" s="233"/>
      <c r="DYQ64" s="231"/>
      <c r="DYR64" s="231"/>
      <c r="DYS64" s="229"/>
      <c r="DYT64" s="230"/>
      <c r="DYU64" s="231"/>
      <c r="DYV64" s="232"/>
      <c r="DYW64" s="233"/>
      <c r="DYX64" s="233"/>
      <c r="DYY64" s="233"/>
      <c r="DYZ64" s="233"/>
      <c r="DZA64" s="233"/>
      <c r="DZB64" s="233"/>
      <c r="DZC64" s="231"/>
      <c r="DZD64" s="231"/>
      <c r="DZE64" s="229"/>
      <c r="DZF64" s="230"/>
      <c r="DZG64" s="231"/>
      <c r="DZH64" s="232"/>
      <c r="DZI64" s="233"/>
      <c r="DZJ64" s="233"/>
      <c r="DZK64" s="233"/>
      <c r="DZL64" s="233"/>
      <c r="DZM64" s="233"/>
      <c r="DZN64" s="233"/>
      <c r="DZO64" s="231"/>
      <c r="DZP64" s="231"/>
      <c r="DZQ64" s="229"/>
      <c r="DZR64" s="230"/>
      <c r="DZS64" s="231"/>
      <c r="DZT64" s="232"/>
      <c r="DZU64" s="233"/>
      <c r="DZV64" s="233"/>
      <c r="DZW64" s="233"/>
      <c r="DZX64" s="233"/>
      <c r="DZY64" s="233"/>
      <c r="DZZ64" s="233"/>
      <c r="EAA64" s="231"/>
      <c r="EAB64" s="231"/>
      <c r="EAC64" s="229"/>
      <c r="EAD64" s="230"/>
      <c r="EAE64" s="231"/>
      <c r="EAF64" s="232"/>
      <c r="EAG64" s="233"/>
      <c r="EAH64" s="233"/>
      <c r="EAI64" s="233"/>
      <c r="EAJ64" s="233"/>
      <c r="EAK64" s="233"/>
      <c r="EAL64" s="233"/>
      <c r="EAM64" s="231"/>
      <c r="EAN64" s="231"/>
      <c r="EAO64" s="229"/>
      <c r="EAP64" s="230"/>
      <c r="EAQ64" s="231"/>
      <c r="EAR64" s="232"/>
      <c r="EAS64" s="233"/>
      <c r="EAT64" s="233"/>
      <c r="EAU64" s="233"/>
      <c r="EAV64" s="233"/>
      <c r="EAW64" s="233"/>
      <c r="EAX64" s="233"/>
      <c r="EAY64" s="231"/>
      <c r="EAZ64" s="231"/>
      <c r="EBA64" s="229"/>
      <c r="EBB64" s="230"/>
      <c r="EBC64" s="231"/>
      <c r="EBD64" s="232"/>
      <c r="EBE64" s="233"/>
      <c r="EBF64" s="233"/>
      <c r="EBG64" s="233"/>
      <c r="EBH64" s="233"/>
      <c r="EBI64" s="233"/>
      <c r="EBJ64" s="233"/>
      <c r="EBK64" s="231"/>
      <c r="EBL64" s="231"/>
      <c r="EBM64" s="229"/>
      <c r="EBN64" s="230"/>
      <c r="EBO64" s="231"/>
      <c r="EBP64" s="232"/>
      <c r="EBQ64" s="233"/>
      <c r="EBR64" s="233"/>
      <c r="EBS64" s="233"/>
      <c r="EBT64" s="233"/>
      <c r="EBU64" s="233"/>
      <c r="EBV64" s="233"/>
      <c r="EBW64" s="231"/>
      <c r="EBX64" s="231"/>
      <c r="EBY64" s="229"/>
      <c r="EBZ64" s="230"/>
      <c r="ECA64" s="231"/>
      <c r="ECB64" s="232"/>
      <c r="ECC64" s="233"/>
      <c r="ECD64" s="233"/>
      <c r="ECE64" s="233"/>
      <c r="ECF64" s="233"/>
      <c r="ECG64" s="233"/>
      <c r="ECH64" s="233"/>
      <c r="ECI64" s="231"/>
      <c r="ECJ64" s="231"/>
      <c r="ECK64" s="229"/>
      <c r="ECL64" s="230"/>
      <c r="ECM64" s="231"/>
      <c r="ECN64" s="232"/>
      <c r="ECO64" s="233"/>
      <c r="ECP64" s="233"/>
      <c r="ECQ64" s="233"/>
      <c r="ECR64" s="233"/>
      <c r="ECS64" s="233"/>
      <c r="ECT64" s="233"/>
      <c r="ECU64" s="231"/>
      <c r="ECV64" s="231"/>
      <c r="ECW64" s="229"/>
      <c r="ECX64" s="230"/>
      <c r="ECY64" s="231"/>
      <c r="ECZ64" s="232"/>
      <c r="EDA64" s="233"/>
      <c r="EDB64" s="233"/>
      <c r="EDC64" s="233"/>
      <c r="EDD64" s="233"/>
      <c r="EDE64" s="233"/>
      <c r="EDF64" s="233"/>
      <c r="EDG64" s="231"/>
      <c r="EDH64" s="231"/>
      <c r="EDI64" s="229"/>
      <c r="EDJ64" s="230"/>
      <c r="EDK64" s="231"/>
      <c r="EDL64" s="232"/>
      <c r="EDM64" s="233"/>
      <c r="EDN64" s="233"/>
      <c r="EDO64" s="233"/>
      <c r="EDP64" s="233"/>
      <c r="EDQ64" s="233"/>
      <c r="EDR64" s="233"/>
      <c r="EDS64" s="231"/>
      <c r="EDT64" s="231"/>
      <c r="EDU64" s="229"/>
      <c r="EDV64" s="230"/>
      <c r="EDW64" s="231"/>
      <c r="EDX64" s="232"/>
      <c r="EDY64" s="233"/>
      <c r="EDZ64" s="233"/>
      <c r="EEA64" s="233"/>
      <c r="EEB64" s="233"/>
      <c r="EEC64" s="233"/>
      <c r="EED64" s="233"/>
      <c r="EEE64" s="231"/>
      <c r="EEF64" s="231"/>
      <c r="EEG64" s="229"/>
      <c r="EEH64" s="230"/>
      <c r="EEI64" s="231"/>
      <c r="EEJ64" s="232"/>
      <c r="EEK64" s="233"/>
      <c r="EEL64" s="233"/>
      <c r="EEM64" s="233"/>
      <c r="EEN64" s="233"/>
      <c r="EEO64" s="233"/>
      <c r="EEP64" s="233"/>
      <c r="EEQ64" s="231"/>
      <c r="EER64" s="231"/>
      <c r="EES64" s="229"/>
      <c r="EET64" s="230"/>
      <c r="EEU64" s="231"/>
      <c r="EEV64" s="232"/>
      <c r="EEW64" s="233"/>
      <c r="EEX64" s="233"/>
      <c r="EEY64" s="233"/>
      <c r="EEZ64" s="233"/>
      <c r="EFA64" s="233"/>
      <c r="EFB64" s="233"/>
      <c r="EFC64" s="231"/>
      <c r="EFD64" s="231"/>
      <c r="EFE64" s="229"/>
      <c r="EFF64" s="230"/>
      <c r="EFG64" s="231"/>
      <c r="EFH64" s="232"/>
      <c r="EFI64" s="233"/>
      <c r="EFJ64" s="233"/>
      <c r="EFK64" s="233"/>
      <c r="EFL64" s="233"/>
      <c r="EFM64" s="233"/>
      <c r="EFN64" s="233"/>
      <c r="EFO64" s="231"/>
      <c r="EFP64" s="231"/>
      <c r="EFQ64" s="229"/>
      <c r="EFR64" s="230"/>
      <c r="EFS64" s="231"/>
      <c r="EFT64" s="232"/>
      <c r="EFU64" s="233"/>
      <c r="EFV64" s="233"/>
      <c r="EFW64" s="233"/>
      <c r="EFX64" s="233"/>
      <c r="EFY64" s="233"/>
      <c r="EFZ64" s="233"/>
      <c r="EGA64" s="231"/>
      <c r="EGB64" s="231"/>
      <c r="EGC64" s="229"/>
      <c r="EGD64" s="230"/>
      <c r="EGE64" s="231"/>
      <c r="EGF64" s="232"/>
      <c r="EGG64" s="233"/>
      <c r="EGH64" s="233"/>
      <c r="EGI64" s="233"/>
      <c r="EGJ64" s="233"/>
      <c r="EGK64" s="233"/>
      <c r="EGL64" s="233"/>
      <c r="EGM64" s="231"/>
      <c r="EGN64" s="231"/>
      <c r="EGO64" s="229"/>
      <c r="EGP64" s="230"/>
      <c r="EGQ64" s="231"/>
      <c r="EGR64" s="232"/>
      <c r="EGS64" s="233"/>
      <c r="EGT64" s="233"/>
      <c r="EGU64" s="233"/>
      <c r="EGV64" s="233"/>
      <c r="EGW64" s="233"/>
      <c r="EGX64" s="233"/>
      <c r="EGY64" s="231"/>
      <c r="EGZ64" s="231"/>
      <c r="EHA64" s="229"/>
      <c r="EHB64" s="230"/>
      <c r="EHC64" s="231"/>
      <c r="EHD64" s="232"/>
      <c r="EHE64" s="233"/>
      <c r="EHF64" s="233"/>
      <c r="EHG64" s="233"/>
      <c r="EHH64" s="233"/>
      <c r="EHI64" s="233"/>
      <c r="EHJ64" s="233"/>
      <c r="EHK64" s="231"/>
      <c r="EHL64" s="231"/>
      <c r="EHM64" s="229"/>
      <c r="EHN64" s="230"/>
      <c r="EHO64" s="231"/>
      <c r="EHP64" s="232"/>
      <c r="EHQ64" s="233"/>
      <c r="EHR64" s="233"/>
      <c r="EHS64" s="233"/>
      <c r="EHT64" s="233"/>
      <c r="EHU64" s="233"/>
      <c r="EHV64" s="233"/>
      <c r="EHW64" s="231"/>
      <c r="EHX64" s="231"/>
      <c r="EHY64" s="229"/>
      <c r="EHZ64" s="230"/>
      <c r="EIA64" s="231"/>
      <c r="EIB64" s="232"/>
      <c r="EIC64" s="233"/>
      <c r="EID64" s="233"/>
      <c r="EIE64" s="233"/>
      <c r="EIF64" s="233"/>
      <c r="EIG64" s="233"/>
      <c r="EIH64" s="233"/>
      <c r="EII64" s="231"/>
      <c r="EIJ64" s="231"/>
      <c r="EIK64" s="229"/>
      <c r="EIL64" s="230"/>
      <c r="EIM64" s="231"/>
      <c r="EIN64" s="232"/>
      <c r="EIO64" s="233"/>
      <c r="EIP64" s="233"/>
      <c r="EIQ64" s="233"/>
      <c r="EIR64" s="233"/>
      <c r="EIS64" s="233"/>
      <c r="EIT64" s="233"/>
      <c r="EIU64" s="231"/>
      <c r="EIV64" s="231"/>
      <c r="EIW64" s="229"/>
      <c r="EIX64" s="230"/>
      <c r="EIY64" s="231"/>
      <c r="EIZ64" s="232"/>
      <c r="EJA64" s="233"/>
      <c r="EJB64" s="233"/>
      <c r="EJC64" s="233"/>
      <c r="EJD64" s="233"/>
      <c r="EJE64" s="233"/>
      <c r="EJF64" s="233"/>
      <c r="EJG64" s="231"/>
      <c r="EJH64" s="231"/>
      <c r="EJI64" s="229"/>
      <c r="EJJ64" s="230"/>
      <c r="EJK64" s="231"/>
      <c r="EJL64" s="232"/>
      <c r="EJM64" s="233"/>
      <c r="EJN64" s="233"/>
      <c r="EJO64" s="233"/>
      <c r="EJP64" s="233"/>
      <c r="EJQ64" s="233"/>
      <c r="EJR64" s="233"/>
      <c r="EJS64" s="231"/>
      <c r="EJT64" s="231"/>
      <c r="EJU64" s="229"/>
      <c r="EJV64" s="230"/>
      <c r="EJW64" s="231"/>
      <c r="EJX64" s="232"/>
      <c r="EJY64" s="233"/>
      <c r="EJZ64" s="233"/>
      <c r="EKA64" s="233"/>
      <c r="EKB64" s="233"/>
      <c r="EKC64" s="233"/>
      <c r="EKD64" s="233"/>
      <c r="EKE64" s="231"/>
      <c r="EKF64" s="231"/>
      <c r="EKG64" s="229"/>
      <c r="EKH64" s="230"/>
      <c r="EKI64" s="231"/>
      <c r="EKJ64" s="232"/>
      <c r="EKK64" s="233"/>
      <c r="EKL64" s="233"/>
      <c r="EKM64" s="233"/>
      <c r="EKN64" s="233"/>
      <c r="EKO64" s="233"/>
      <c r="EKP64" s="233"/>
      <c r="EKQ64" s="231"/>
      <c r="EKR64" s="231"/>
      <c r="EKS64" s="229"/>
      <c r="EKT64" s="230"/>
      <c r="EKU64" s="231"/>
      <c r="EKV64" s="232"/>
      <c r="EKW64" s="233"/>
      <c r="EKX64" s="233"/>
      <c r="EKY64" s="233"/>
      <c r="EKZ64" s="233"/>
      <c r="ELA64" s="233"/>
      <c r="ELB64" s="233"/>
      <c r="ELC64" s="231"/>
      <c r="ELD64" s="231"/>
      <c r="ELE64" s="229"/>
      <c r="ELF64" s="230"/>
      <c r="ELG64" s="231"/>
      <c r="ELH64" s="232"/>
      <c r="ELI64" s="233"/>
      <c r="ELJ64" s="233"/>
      <c r="ELK64" s="233"/>
      <c r="ELL64" s="233"/>
      <c r="ELM64" s="233"/>
      <c r="ELN64" s="233"/>
      <c r="ELO64" s="231"/>
      <c r="ELP64" s="231"/>
      <c r="ELQ64" s="229"/>
      <c r="ELR64" s="230"/>
      <c r="ELS64" s="231"/>
      <c r="ELT64" s="232"/>
      <c r="ELU64" s="233"/>
      <c r="ELV64" s="233"/>
      <c r="ELW64" s="233"/>
      <c r="ELX64" s="233"/>
      <c r="ELY64" s="233"/>
      <c r="ELZ64" s="233"/>
      <c r="EMA64" s="231"/>
      <c r="EMB64" s="231"/>
      <c r="EMC64" s="229"/>
      <c r="EMD64" s="230"/>
      <c r="EME64" s="231"/>
      <c r="EMF64" s="232"/>
      <c r="EMG64" s="233"/>
      <c r="EMH64" s="233"/>
      <c r="EMI64" s="233"/>
      <c r="EMJ64" s="233"/>
      <c r="EMK64" s="233"/>
      <c r="EML64" s="233"/>
      <c r="EMM64" s="231"/>
      <c r="EMN64" s="231"/>
      <c r="EMO64" s="229"/>
      <c r="EMP64" s="230"/>
      <c r="EMQ64" s="231"/>
      <c r="EMR64" s="232"/>
      <c r="EMS64" s="233"/>
      <c r="EMT64" s="233"/>
      <c r="EMU64" s="233"/>
      <c r="EMV64" s="233"/>
      <c r="EMW64" s="233"/>
      <c r="EMX64" s="233"/>
      <c r="EMY64" s="231"/>
      <c r="EMZ64" s="231"/>
      <c r="ENA64" s="229"/>
      <c r="ENB64" s="230"/>
      <c r="ENC64" s="231"/>
      <c r="END64" s="232"/>
      <c r="ENE64" s="233"/>
      <c r="ENF64" s="233"/>
      <c r="ENG64" s="233"/>
      <c r="ENH64" s="233"/>
      <c r="ENI64" s="233"/>
      <c r="ENJ64" s="233"/>
      <c r="ENK64" s="231"/>
      <c r="ENL64" s="231"/>
      <c r="ENM64" s="229"/>
      <c r="ENN64" s="230"/>
      <c r="ENO64" s="231"/>
      <c r="ENP64" s="232"/>
      <c r="ENQ64" s="233"/>
      <c r="ENR64" s="233"/>
      <c r="ENS64" s="233"/>
      <c r="ENT64" s="233"/>
      <c r="ENU64" s="233"/>
      <c r="ENV64" s="233"/>
      <c r="ENW64" s="231"/>
      <c r="ENX64" s="231"/>
      <c r="ENY64" s="229"/>
      <c r="ENZ64" s="230"/>
      <c r="EOA64" s="231"/>
      <c r="EOB64" s="232"/>
      <c r="EOC64" s="233"/>
      <c r="EOD64" s="233"/>
      <c r="EOE64" s="233"/>
      <c r="EOF64" s="233"/>
      <c r="EOG64" s="233"/>
      <c r="EOH64" s="233"/>
      <c r="EOI64" s="231"/>
      <c r="EOJ64" s="231"/>
      <c r="EOK64" s="229"/>
      <c r="EOL64" s="230"/>
      <c r="EOM64" s="231"/>
      <c r="EON64" s="232"/>
      <c r="EOO64" s="233"/>
      <c r="EOP64" s="233"/>
      <c r="EOQ64" s="233"/>
      <c r="EOR64" s="233"/>
      <c r="EOS64" s="233"/>
      <c r="EOT64" s="233"/>
      <c r="EOU64" s="231"/>
      <c r="EOV64" s="231"/>
      <c r="EOW64" s="229"/>
      <c r="EOX64" s="230"/>
      <c r="EOY64" s="231"/>
      <c r="EOZ64" s="232"/>
      <c r="EPA64" s="233"/>
      <c r="EPB64" s="233"/>
      <c r="EPC64" s="233"/>
      <c r="EPD64" s="233"/>
      <c r="EPE64" s="233"/>
      <c r="EPF64" s="233"/>
      <c r="EPG64" s="231"/>
      <c r="EPH64" s="231"/>
      <c r="EPI64" s="229"/>
      <c r="EPJ64" s="230"/>
      <c r="EPK64" s="231"/>
      <c r="EPL64" s="232"/>
      <c r="EPM64" s="233"/>
      <c r="EPN64" s="233"/>
      <c r="EPO64" s="233"/>
      <c r="EPP64" s="233"/>
      <c r="EPQ64" s="233"/>
      <c r="EPR64" s="233"/>
      <c r="EPS64" s="231"/>
      <c r="EPT64" s="231"/>
      <c r="EPU64" s="229"/>
      <c r="EPV64" s="230"/>
      <c r="EPW64" s="231"/>
      <c r="EPX64" s="232"/>
      <c r="EPY64" s="233"/>
      <c r="EPZ64" s="233"/>
      <c r="EQA64" s="233"/>
      <c r="EQB64" s="233"/>
      <c r="EQC64" s="233"/>
      <c r="EQD64" s="233"/>
      <c r="EQE64" s="231"/>
      <c r="EQF64" s="231"/>
      <c r="EQG64" s="229"/>
      <c r="EQH64" s="230"/>
      <c r="EQI64" s="231"/>
      <c r="EQJ64" s="232"/>
      <c r="EQK64" s="233"/>
      <c r="EQL64" s="233"/>
      <c r="EQM64" s="233"/>
      <c r="EQN64" s="233"/>
      <c r="EQO64" s="233"/>
      <c r="EQP64" s="233"/>
      <c r="EQQ64" s="231"/>
      <c r="EQR64" s="231"/>
      <c r="EQS64" s="229"/>
      <c r="EQT64" s="230"/>
      <c r="EQU64" s="231"/>
      <c r="EQV64" s="232"/>
      <c r="EQW64" s="233"/>
      <c r="EQX64" s="233"/>
      <c r="EQY64" s="233"/>
      <c r="EQZ64" s="233"/>
      <c r="ERA64" s="233"/>
      <c r="ERB64" s="233"/>
      <c r="ERC64" s="231"/>
      <c r="ERD64" s="231"/>
      <c r="ERE64" s="229"/>
      <c r="ERF64" s="230"/>
      <c r="ERG64" s="231"/>
      <c r="ERH64" s="232"/>
      <c r="ERI64" s="233"/>
      <c r="ERJ64" s="233"/>
      <c r="ERK64" s="233"/>
      <c r="ERL64" s="233"/>
      <c r="ERM64" s="233"/>
      <c r="ERN64" s="233"/>
      <c r="ERO64" s="231"/>
      <c r="ERP64" s="231"/>
      <c r="ERQ64" s="229"/>
      <c r="ERR64" s="230"/>
      <c r="ERS64" s="231"/>
      <c r="ERT64" s="232"/>
      <c r="ERU64" s="233"/>
      <c r="ERV64" s="233"/>
      <c r="ERW64" s="233"/>
      <c r="ERX64" s="233"/>
      <c r="ERY64" s="233"/>
      <c r="ERZ64" s="233"/>
      <c r="ESA64" s="231"/>
      <c r="ESB64" s="231"/>
      <c r="ESC64" s="229"/>
      <c r="ESD64" s="230"/>
      <c r="ESE64" s="231"/>
      <c r="ESF64" s="232"/>
      <c r="ESG64" s="233"/>
      <c r="ESH64" s="233"/>
      <c r="ESI64" s="233"/>
      <c r="ESJ64" s="233"/>
      <c r="ESK64" s="233"/>
      <c r="ESL64" s="233"/>
      <c r="ESM64" s="231"/>
      <c r="ESN64" s="231"/>
      <c r="ESO64" s="229"/>
      <c r="ESP64" s="230"/>
      <c r="ESQ64" s="231"/>
      <c r="ESR64" s="232"/>
      <c r="ESS64" s="233"/>
      <c r="EST64" s="233"/>
      <c r="ESU64" s="233"/>
      <c r="ESV64" s="233"/>
      <c r="ESW64" s="233"/>
      <c r="ESX64" s="233"/>
      <c r="ESY64" s="231"/>
      <c r="ESZ64" s="231"/>
      <c r="ETA64" s="229"/>
      <c r="ETB64" s="230"/>
      <c r="ETC64" s="231"/>
      <c r="ETD64" s="232"/>
      <c r="ETE64" s="233"/>
      <c r="ETF64" s="233"/>
      <c r="ETG64" s="233"/>
      <c r="ETH64" s="233"/>
      <c r="ETI64" s="233"/>
      <c r="ETJ64" s="233"/>
      <c r="ETK64" s="231"/>
      <c r="ETL64" s="231"/>
      <c r="ETM64" s="229"/>
      <c r="ETN64" s="230"/>
      <c r="ETO64" s="231"/>
      <c r="ETP64" s="232"/>
      <c r="ETQ64" s="233"/>
      <c r="ETR64" s="233"/>
      <c r="ETS64" s="233"/>
      <c r="ETT64" s="233"/>
      <c r="ETU64" s="233"/>
      <c r="ETV64" s="233"/>
      <c r="ETW64" s="231"/>
      <c r="ETX64" s="231"/>
      <c r="ETY64" s="229"/>
      <c r="ETZ64" s="230"/>
      <c r="EUA64" s="231"/>
      <c r="EUB64" s="232"/>
      <c r="EUC64" s="233"/>
      <c r="EUD64" s="233"/>
      <c r="EUE64" s="233"/>
      <c r="EUF64" s="233"/>
      <c r="EUG64" s="233"/>
      <c r="EUH64" s="233"/>
      <c r="EUI64" s="231"/>
      <c r="EUJ64" s="231"/>
      <c r="EUK64" s="229"/>
      <c r="EUL64" s="230"/>
      <c r="EUM64" s="231"/>
      <c r="EUN64" s="232"/>
      <c r="EUO64" s="233"/>
      <c r="EUP64" s="233"/>
      <c r="EUQ64" s="233"/>
      <c r="EUR64" s="233"/>
      <c r="EUS64" s="233"/>
      <c r="EUT64" s="233"/>
      <c r="EUU64" s="231"/>
      <c r="EUV64" s="231"/>
      <c r="EUW64" s="229"/>
      <c r="EUX64" s="230"/>
      <c r="EUY64" s="231"/>
      <c r="EUZ64" s="232"/>
      <c r="EVA64" s="233"/>
      <c r="EVB64" s="233"/>
      <c r="EVC64" s="233"/>
      <c r="EVD64" s="233"/>
      <c r="EVE64" s="233"/>
      <c r="EVF64" s="233"/>
      <c r="EVG64" s="231"/>
      <c r="EVH64" s="231"/>
      <c r="EVI64" s="229"/>
      <c r="EVJ64" s="230"/>
      <c r="EVK64" s="231"/>
      <c r="EVL64" s="232"/>
      <c r="EVM64" s="233"/>
      <c r="EVN64" s="233"/>
      <c r="EVO64" s="233"/>
      <c r="EVP64" s="233"/>
      <c r="EVQ64" s="233"/>
      <c r="EVR64" s="233"/>
      <c r="EVS64" s="231"/>
      <c r="EVT64" s="231"/>
      <c r="EVU64" s="229"/>
      <c r="EVV64" s="230"/>
      <c r="EVW64" s="231"/>
      <c r="EVX64" s="232"/>
      <c r="EVY64" s="233"/>
      <c r="EVZ64" s="233"/>
      <c r="EWA64" s="233"/>
      <c r="EWB64" s="233"/>
      <c r="EWC64" s="233"/>
      <c r="EWD64" s="233"/>
      <c r="EWE64" s="231"/>
      <c r="EWF64" s="231"/>
      <c r="EWG64" s="229"/>
      <c r="EWH64" s="230"/>
      <c r="EWI64" s="231"/>
      <c r="EWJ64" s="232"/>
      <c r="EWK64" s="233"/>
      <c r="EWL64" s="233"/>
      <c r="EWM64" s="233"/>
      <c r="EWN64" s="233"/>
      <c r="EWO64" s="233"/>
      <c r="EWP64" s="233"/>
      <c r="EWQ64" s="231"/>
      <c r="EWR64" s="231"/>
      <c r="EWS64" s="229"/>
      <c r="EWT64" s="230"/>
      <c r="EWU64" s="231"/>
      <c r="EWV64" s="232"/>
      <c r="EWW64" s="233"/>
      <c r="EWX64" s="233"/>
      <c r="EWY64" s="233"/>
      <c r="EWZ64" s="233"/>
      <c r="EXA64" s="233"/>
      <c r="EXB64" s="233"/>
      <c r="EXC64" s="231"/>
      <c r="EXD64" s="231"/>
      <c r="EXE64" s="229"/>
      <c r="EXF64" s="230"/>
      <c r="EXG64" s="231"/>
      <c r="EXH64" s="232"/>
      <c r="EXI64" s="233"/>
      <c r="EXJ64" s="233"/>
      <c r="EXK64" s="233"/>
      <c r="EXL64" s="233"/>
      <c r="EXM64" s="233"/>
      <c r="EXN64" s="233"/>
      <c r="EXO64" s="231"/>
      <c r="EXP64" s="231"/>
      <c r="EXQ64" s="229"/>
      <c r="EXR64" s="230"/>
      <c r="EXS64" s="231"/>
      <c r="EXT64" s="232"/>
      <c r="EXU64" s="233"/>
      <c r="EXV64" s="233"/>
      <c r="EXW64" s="233"/>
      <c r="EXX64" s="233"/>
      <c r="EXY64" s="233"/>
      <c r="EXZ64" s="233"/>
      <c r="EYA64" s="231"/>
      <c r="EYB64" s="231"/>
      <c r="EYC64" s="229"/>
      <c r="EYD64" s="230"/>
      <c r="EYE64" s="231"/>
      <c r="EYF64" s="232"/>
      <c r="EYG64" s="233"/>
      <c r="EYH64" s="233"/>
      <c r="EYI64" s="233"/>
      <c r="EYJ64" s="233"/>
      <c r="EYK64" s="233"/>
      <c r="EYL64" s="233"/>
      <c r="EYM64" s="231"/>
      <c r="EYN64" s="231"/>
      <c r="EYO64" s="229"/>
      <c r="EYP64" s="230"/>
      <c r="EYQ64" s="231"/>
      <c r="EYR64" s="232"/>
      <c r="EYS64" s="233"/>
      <c r="EYT64" s="233"/>
      <c r="EYU64" s="233"/>
      <c r="EYV64" s="233"/>
      <c r="EYW64" s="233"/>
      <c r="EYX64" s="233"/>
      <c r="EYY64" s="231"/>
      <c r="EYZ64" s="231"/>
      <c r="EZA64" s="229"/>
      <c r="EZB64" s="230"/>
      <c r="EZC64" s="231"/>
      <c r="EZD64" s="232"/>
      <c r="EZE64" s="233"/>
      <c r="EZF64" s="233"/>
      <c r="EZG64" s="233"/>
      <c r="EZH64" s="233"/>
      <c r="EZI64" s="233"/>
      <c r="EZJ64" s="233"/>
      <c r="EZK64" s="231"/>
      <c r="EZL64" s="231"/>
      <c r="EZM64" s="229"/>
      <c r="EZN64" s="230"/>
      <c r="EZO64" s="231"/>
      <c r="EZP64" s="232"/>
      <c r="EZQ64" s="233"/>
      <c r="EZR64" s="233"/>
      <c r="EZS64" s="233"/>
      <c r="EZT64" s="233"/>
      <c r="EZU64" s="233"/>
      <c r="EZV64" s="233"/>
      <c r="EZW64" s="231"/>
      <c r="EZX64" s="231"/>
      <c r="EZY64" s="229"/>
      <c r="EZZ64" s="230"/>
      <c r="FAA64" s="231"/>
      <c r="FAB64" s="232"/>
      <c r="FAC64" s="233"/>
      <c r="FAD64" s="233"/>
      <c r="FAE64" s="233"/>
      <c r="FAF64" s="233"/>
      <c r="FAG64" s="233"/>
      <c r="FAH64" s="233"/>
      <c r="FAI64" s="231"/>
      <c r="FAJ64" s="231"/>
      <c r="FAK64" s="229"/>
      <c r="FAL64" s="230"/>
      <c r="FAM64" s="231"/>
      <c r="FAN64" s="232"/>
      <c r="FAO64" s="233"/>
      <c r="FAP64" s="233"/>
      <c r="FAQ64" s="233"/>
      <c r="FAR64" s="233"/>
      <c r="FAS64" s="233"/>
      <c r="FAT64" s="233"/>
      <c r="FAU64" s="231"/>
      <c r="FAV64" s="231"/>
      <c r="FAW64" s="229"/>
      <c r="FAX64" s="230"/>
      <c r="FAY64" s="231"/>
      <c r="FAZ64" s="232"/>
      <c r="FBA64" s="233"/>
      <c r="FBB64" s="233"/>
      <c r="FBC64" s="233"/>
      <c r="FBD64" s="233"/>
      <c r="FBE64" s="233"/>
      <c r="FBF64" s="233"/>
      <c r="FBG64" s="231"/>
      <c r="FBH64" s="231"/>
      <c r="FBI64" s="229"/>
      <c r="FBJ64" s="230"/>
      <c r="FBK64" s="231"/>
      <c r="FBL64" s="232"/>
      <c r="FBM64" s="233"/>
      <c r="FBN64" s="233"/>
      <c r="FBO64" s="233"/>
      <c r="FBP64" s="233"/>
      <c r="FBQ64" s="233"/>
      <c r="FBR64" s="233"/>
      <c r="FBS64" s="231"/>
      <c r="FBT64" s="231"/>
      <c r="FBU64" s="229"/>
      <c r="FBV64" s="230"/>
      <c r="FBW64" s="231"/>
      <c r="FBX64" s="232"/>
      <c r="FBY64" s="233"/>
      <c r="FBZ64" s="233"/>
      <c r="FCA64" s="233"/>
      <c r="FCB64" s="233"/>
      <c r="FCC64" s="233"/>
      <c r="FCD64" s="233"/>
      <c r="FCE64" s="231"/>
      <c r="FCF64" s="231"/>
      <c r="FCG64" s="229"/>
      <c r="FCH64" s="230"/>
      <c r="FCI64" s="231"/>
      <c r="FCJ64" s="232"/>
      <c r="FCK64" s="233"/>
      <c r="FCL64" s="233"/>
      <c r="FCM64" s="233"/>
      <c r="FCN64" s="233"/>
      <c r="FCO64" s="233"/>
      <c r="FCP64" s="233"/>
      <c r="FCQ64" s="231"/>
      <c r="FCR64" s="231"/>
      <c r="FCS64" s="229"/>
      <c r="FCT64" s="230"/>
      <c r="FCU64" s="231"/>
      <c r="FCV64" s="232"/>
      <c r="FCW64" s="233"/>
      <c r="FCX64" s="233"/>
      <c r="FCY64" s="233"/>
      <c r="FCZ64" s="233"/>
      <c r="FDA64" s="233"/>
      <c r="FDB64" s="233"/>
      <c r="FDC64" s="231"/>
      <c r="FDD64" s="231"/>
      <c r="FDE64" s="229"/>
      <c r="FDF64" s="230"/>
      <c r="FDG64" s="231"/>
      <c r="FDH64" s="232"/>
      <c r="FDI64" s="233"/>
      <c r="FDJ64" s="233"/>
      <c r="FDK64" s="233"/>
      <c r="FDL64" s="233"/>
      <c r="FDM64" s="233"/>
      <c r="FDN64" s="233"/>
      <c r="FDO64" s="231"/>
      <c r="FDP64" s="231"/>
      <c r="FDQ64" s="229"/>
      <c r="FDR64" s="230"/>
      <c r="FDS64" s="231"/>
      <c r="FDT64" s="232"/>
      <c r="FDU64" s="233"/>
      <c r="FDV64" s="233"/>
      <c r="FDW64" s="233"/>
      <c r="FDX64" s="233"/>
      <c r="FDY64" s="233"/>
      <c r="FDZ64" s="233"/>
      <c r="FEA64" s="231"/>
      <c r="FEB64" s="231"/>
      <c r="FEC64" s="229"/>
      <c r="FED64" s="230"/>
      <c r="FEE64" s="231"/>
      <c r="FEF64" s="232"/>
      <c r="FEG64" s="233"/>
      <c r="FEH64" s="233"/>
      <c r="FEI64" s="233"/>
      <c r="FEJ64" s="233"/>
      <c r="FEK64" s="233"/>
      <c r="FEL64" s="233"/>
      <c r="FEM64" s="231"/>
      <c r="FEN64" s="231"/>
      <c r="FEO64" s="229"/>
      <c r="FEP64" s="230"/>
      <c r="FEQ64" s="231"/>
      <c r="FER64" s="232"/>
      <c r="FES64" s="233"/>
      <c r="FET64" s="233"/>
      <c r="FEU64" s="233"/>
      <c r="FEV64" s="233"/>
      <c r="FEW64" s="233"/>
      <c r="FEX64" s="233"/>
      <c r="FEY64" s="231"/>
      <c r="FEZ64" s="231"/>
      <c r="FFA64" s="229"/>
      <c r="FFB64" s="230"/>
      <c r="FFC64" s="231"/>
      <c r="FFD64" s="232"/>
      <c r="FFE64" s="233"/>
      <c r="FFF64" s="233"/>
      <c r="FFG64" s="233"/>
      <c r="FFH64" s="233"/>
      <c r="FFI64" s="233"/>
      <c r="FFJ64" s="233"/>
      <c r="FFK64" s="231"/>
      <c r="FFL64" s="231"/>
      <c r="FFM64" s="229"/>
      <c r="FFN64" s="230"/>
      <c r="FFO64" s="231"/>
      <c r="FFP64" s="232"/>
      <c r="FFQ64" s="233"/>
      <c r="FFR64" s="233"/>
      <c r="FFS64" s="233"/>
      <c r="FFT64" s="233"/>
      <c r="FFU64" s="233"/>
      <c r="FFV64" s="233"/>
      <c r="FFW64" s="231"/>
      <c r="FFX64" s="231"/>
      <c r="FFY64" s="229"/>
      <c r="FFZ64" s="230"/>
      <c r="FGA64" s="231"/>
      <c r="FGB64" s="232"/>
      <c r="FGC64" s="233"/>
      <c r="FGD64" s="233"/>
      <c r="FGE64" s="233"/>
      <c r="FGF64" s="233"/>
      <c r="FGG64" s="233"/>
      <c r="FGH64" s="233"/>
      <c r="FGI64" s="231"/>
      <c r="FGJ64" s="231"/>
      <c r="FGK64" s="229"/>
      <c r="FGL64" s="230"/>
      <c r="FGM64" s="231"/>
      <c r="FGN64" s="232"/>
      <c r="FGO64" s="233"/>
      <c r="FGP64" s="233"/>
      <c r="FGQ64" s="233"/>
      <c r="FGR64" s="233"/>
      <c r="FGS64" s="233"/>
      <c r="FGT64" s="233"/>
      <c r="FGU64" s="231"/>
      <c r="FGV64" s="231"/>
      <c r="FGW64" s="229"/>
      <c r="FGX64" s="230"/>
      <c r="FGY64" s="231"/>
      <c r="FGZ64" s="232"/>
      <c r="FHA64" s="233"/>
      <c r="FHB64" s="233"/>
      <c r="FHC64" s="233"/>
      <c r="FHD64" s="233"/>
      <c r="FHE64" s="233"/>
      <c r="FHF64" s="233"/>
      <c r="FHG64" s="231"/>
      <c r="FHH64" s="231"/>
      <c r="FHI64" s="229"/>
      <c r="FHJ64" s="230"/>
      <c r="FHK64" s="231"/>
      <c r="FHL64" s="232"/>
      <c r="FHM64" s="233"/>
      <c r="FHN64" s="233"/>
      <c r="FHO64" s="233"/>
      <c r="FHP64" s="233"/>
      <c r="FHQ64" s="233"/>
      <c r="FHR64" s="233"/>
      <c r="FHS64" s="231"/>
      <c r="FHT64" s="231"/>
      <c r="FHU64" s="229"/>
      <c r="FHV64" s="230"/>
      <c r="FHW64" s="231"/>
      <c r="FHX64" s="232"/>
      <c r="FHY64" s="233"/>
      <c r="FHZ64" s="233"/>
      <c r="FIA64" s="233"/>
      <c r="FIB64" s="233"/>
      <c r="FIC64" s="233"/>
      <c r="FID64" s="233"/>
      <c r="FIE64" s="231"/>
      <c r="FIF64" s="231"/>
      <c r="FIG64" s="229"/>
      <c r="FIH64" s="230"/>
      <c r="FII64" s="231"/>
      <c r="FIJ64" s="232"/>
      <c r="FIK64" s="233"/>
      <c r="FIL64" s="233"/>
      <c r="FIM64" s="233"/>
      <c r="FIN64" s="233"/>
      <c r="FIO64" s="233"/>
      <c r="FIP64" s="233"/>
      <c r="FIQ64" s="231"/>
      <c r="FIR64" s="231"/>
      <c r="FIS64" s="229"/>
      <c r="FIT64" s="230"/>
      <c r="FIU64" s="231"/>
      <c r="FIV64" s="232"/>
      <c r="FIW64" s="233"/>
      <c r="FIX64" s="233"/>
      <c r="FIY64" s="233"/>
      <c r="FIZ64" s="233"/>
      <c r="FJA64" s="233"/>
      <c r="FJB64" s="233"/>
      <c r="FJC64" s="231"/>
      <c r="FJD64" s="231"/>
      <c r="FJE64" s="229"/>
      <c r="FJF64" s="230"/>
      <c r="FJG64" s="231"/>
      <c r="FJH64" s="232"/>
      <c r="FJI64" s="233"/>
      <c r="FJJ64" s="233"/>
      <c r="FJK64" s="233"/>
      <c r="FJL64" s="233"/>
      <c r="FJM64" s="233"/>
      <c r="FJN64" s="233"/>
      <c r="FJO64" s="231"/>
      <c r="FJP64" s="231"/>
      <c r="FJQ64" s="229"/>
      <c r="FJR64" s="230"/>
      <c r="FJS64" s="231"/>
      <c r="FJT64" s="232"/>
      <c r="FJU64" s="233"/>
      <c r="FJV64" s="233"/>
      <c r="FJW64" s="233"/>
      <c r="FJX64" s="233"/>
      <c r="FJY64" s="233"/>
      <c r="FJZ64" s="233"/>
      <c r="FKA64" s="231"/>
      <c r="FKB64" s="231"/>
      <c r="FKC64" s="229"/>
      <c r="FKD64" s="230"/>
      <c r="FKE64" s="231"/>
      <c r="FKF64" s="232"/>
      <c r="FKG64" s="233"/>
      <c r="FKH64" s="233"/>
      <c r="FKI64" s="233"/>
      <c r="FKJ64" s="233"/>
      <c r="FKK64" s="233"/>
      <c r="FKL64" s="233"/>
      <c r="FKM64" s="231"/>
      <c r="FKN64" s="231"/>
      <c r="FKO64" s="229"/>
      <c r="FKP64" s="230"/>
      <c r="FKQ64" s="231"/>
      <c r="FKR64" s="232"/>
      <c r="FKS64" s="233"/>
      <c r="FKT64" s="233"/>
      <c r="FKU64" s="233"/>
      <c r="FKV64" s="233"/>
      <c r="FKW64" s="233"/>
      <c r="FKX64" s="233"/>
      <c r="FKY64" s="231"/>
      <c r="FKZ64" s="231"/>
      <c r="FLA64" s="229"/>
      <c r="FLB64" s="230"/>
      <c r="FLC64" s="231"/>
      <c r="FLD64" s="232"/>
      <c r="FLE64" s="233"/>
      <c r="FLF64" s="233"/>
      <c r="FLG64" s="233"/>
      <c r="FLH64" s="233"/>
      <c r="FLI64" s="233"/>
      <c r="FLJ64" s="233"/>
      <c r="FLK64" s="231"/>
      <c r="FLL64" s="231"/>
      <c r="FLM64" s="229"/>
      <c r="FLN64" s="230"/>
      <c r="FLO64" s="231"/>
      <c r="FLP64" s="232"/>
      <c r="FLQ64" s="233"/>
      <c r="FLR64" s="233"/>
      <c r="FLS64" s="233"/>
      <c r="FLT64" s="233"/>
      <c r="FLU64" s="233"/>
      <c r="FLV64" s="233"/>
      <c r="FLW64" s="231"/>
      <c r="FLX64" s="231"/>
      <c r="FLY64" s="229"/>
      <c r="FLZ64" s="230"/>
      <c r="FMA64" s="231"/>
      <c r="FMB64" s="232"/>
      <c r="FMC64" s="233"/>
      <c r="FMD64" s="233"/>
      <c r="FME64" s="233"/>
      <c r="FMF64" s="233"/>
      <c r="FMG64" s="233"/>
      <c r="FMH64" s="233"/>
      <c r="FMI64" s="231"/>
      <c r="FMJ64" s="231"/>
      <c r="FMK64" s="229"/>
      <c r="FML64" s="230"/>
      <c r="FMM64" s="231"/>
      <c r="FMN64" s="232"/>
      <c r="FMO64" s="233"/>
      <c r="FMP64" s="233"/>
      <c r="FMQ64" s="233"/>
      <c r="FMR64" s="233"/>
      <c r="FMS64" s="233"/>
      <c r="FMT64" s="233"/>
      <c r="FMU64" s="231"/>
      <c r="FMV64" s="231"/>
      <c r="FMW64" s="229"/>
      <c r="FMX64" s="230"/>
      <c r="FMY64" s="231"/>
      <c r="FMZ64" s="232"/>
      <c r="FNA64" s="233"/>
      <c r="FNB64" s="233"/>
      <c r="FNC64" s="233"/>
      <c r="FND64" s="233"/>
      <c r="FNE64" s="233"/>
      <c r="FNF64" s="233"/>
      <c r="FNG64" s="231"/>
      <c r="FNH64" s="231"/>
      <c r="FNI64" s="229"/>
      <c r="FNJ64" s="230"/>
      <c r="FNK64" s="231"/>
      <c r="FNL64" s="232"/>
      <c r="FNM64" s="233"/>
      <c r="FNN64" s="233"/>
      <c r="FNO64" s="233"/>
      <c r="FNP64" s="233"/>
      <c r="FNQ64" s="233"/>
      <c r="FNR64" s="233"/>
      <c r="FNS64" s="231"/>
      <c r="FNT64" s="231"/>
      <c r="FNU64" s="229"/>
      <c r="FNV64" s="230"/>
      <c r="FNW64" s="231"/>
      <c r="FNX64" s="232"/>
      <c r="FNY64" s="233"/>
      <c r="FNZ64" s="233"/>
      <c r="FOA64" s="233"/>
      <c r="FOB64" s="233"/>
      <c r="FOC64" s="233"/>
      <c r="FOD64" s="233"/>
      <c r="FOE64" s="231"/>
      <c r="FOF64" s="231"/>
      <c r="FOG64" s="229"/>
      <c r="FOH64" s="230"/>
      <c r="FOI64" s="231"/>
      <c r="FOJ64" s="232"/>
      <c r="FOK64" s="233"/>
      <c r="FOL64" s="233"/>
      <c r="FOM64" s="233"/>
      <c r="FON64" s="233"/>
      <c r="FOO64" s="233"/>
      <c r="FOP64" s="233"/>
      <c r="FOQ64" s="231"/>
      <c r="FOR64" s="231"/>
      <c r="FOS64" s="229"/>
      <c r="FOT64" s="230"/>
      <c r="FOU64" s="231"/>
      <c r="FOV64" s="232"/>
      <c r="FOW64" s="233"/>
      <c r="FOX64" s="233"/>
      <c r="FOY64" s="233"/>
      <c r="FOZ64" s="233"/>
      <c r="FPA64" s="233"/>
      <c r="FPB64" s="233"/>
      <c r="FPC64" s="231"/>
      <c r="FPD64" s="231"/>
      <c r="FPE64" s="229"/>
      <c r="FPF64" s="230"/>
      <c r="FPG64" s="231"/>
      <c r="FPH64" s="232"/>
      <c r="FPI64" s="233"/>
      <c r="FPJ64" s="233"/>
      <c r="FPK64" s="233"/>
      <c r="FPL64" s="233"/>
      <c r="FPM64" s="233"/>
      <c r="FPN64" s="233"/>
      <c r="FPO64" s="231"/>
      <c r="FPP64" s="231"/>
      <c r="FPQ64" s="229"/>
      <c r="FPR64" s="230"/>
      <c r="FPS64" s="231"/>
      <c r="FPT64" s="232"/>
      <c r="FPU64" s="233"/>
      <c r="FPV64" s="233"/>
      <c r="FPW64" s="233"/>
      <c r="FPX64" s="233"/>
      <c r="FPY64" s="233"/>
      <c r="FPZ64" s="233"/>
      <c r="FQA64" s="231"/>
      <c r="FQB64" s="231"/>
      <c r="FQC64" s="229"/>
      <c r="FQD64" s="230"/>
      <c r="FQE64" s="231"/>
      <c r="FQF64" s="232"/>
      <c r="FQG64" s="233"/>
      <c r="FQH64" s="233"/>
      <c r="FQI64" s="233"/>
      <c r="FQJ64" s="233"/>
      <c r="FQK64" s="233"/>
      <c r="FQL64" s="233"/>
      <c r="FQM64" s="231"/>
      <c r="FQN64" s="231"/>
      <c r="FQO64" s="229"/>
      <c r="FQP64" s="230"/>
      <c r="FQQ64" s="231"/>
      <c r="FQR64" s="232"/>
      <c r="FQS64" s="233"/>
      <c r="FQT64" s="233"/>
      <c r="FQU64" s="233"/>
      <c r="FQV64" s="233"/>
      <c r="FQW64" s="233"/>
      <c r="FQX64" s="233"/>
      <c r="FQY64" s="231"/>
      <c r="FQZ64" s="231"/>
      <c r="FRA64" s="229"/>
      <c r="FRB64" s="230"/>
      <c r="FRC64" s="231"/>
      <c r="FRD64" s="232"/>
      <c r="FRE64" s="233"/>
      <c r="FRF64" s="233"/>
      <c r="FRG64" s="233"/>
      <c r="FRH64" s="233"/>
      <c r="FRI64" s="233"/>
      <c r="FRJ64" s="233"/>
      <c r="FRK64" s="231"/>
      <c r="FRL64" s="231"/>
      <c r="FRM64" s="229"/>
      <c r="FRN64" s="230"/>
      <c r="FRO64" s="231"/>
      <c r="FRP64" s="232"/>
      <c r="FRQ64" s="233"/>
      <c r="FRR64" s="233"/>
      <c r="FRS64" s="233"/>
      <c r="FRT64" s="233"/>
      <c r="FRU64" s="233"/>
      <c r="FRV64" s="233"/>
      <c r="FRW64" s="231"/>
      <c r="FRX64" s="231"/>
      <c r="FRY64" s="229"/>
      <c r="FRZ64" s="230"/>
      <c r="FSA64" s="231"/>
      <c r="FSB64" s="232"/>
      <c r="FSC64" s="233"/>
      <c r="FSD64" s="233"/>
      <c r="FSE64" s="233"/>
      <c r="FSF64" s="233"/>
      <c r="FSG64" s="233"/>
      <c r="FSH64" s="233"/>
      <c r="FSI64" s="231"/>
      <c r="FSJ64" s="231"/>
      <c r="FSK64" s="229"/>
      <c r="FSL64" s="230"/>
      <c r="FSM64" s="231"/>
      <c r="FSN64" s="232"/>
      <c r="FSO64" s="233"/>
      <c r="FSP64" s="233"/>
      <c r="FSQ64" s="233"/>
      <c r="FSR64" s="233"/>
      <c r="FSS64" s="233"/>
      <c r="FST64" s="233"/>
      <c r="FSU64" s="231"/>
      <c r="FSV64" s="231"/>
      <c r="FSW64" s="229"/>
      <c r="FSX64" s="230"/>
      <c r="FSY64" s="231"/>
      <c r="FSZ64" s="232"/>
      <c r="FTA64" s="233"/>
      <c r="FTB64" s="233"/>
      <c r="FTC64" s="233"/>
      <c r="FTD64" s="233"/>
      <c r="FTE64" s="233"/>
      <c r="FTF64" s="233"/>
      <c r="FTG64" s="231"/>
      <c r="FTH64" s="231"/>
      <c r="FTI64" s="229"/>
      <c r="FTJ64" s="230"/>
      <c r="FTK64" s="231"/>
      <c r="FTL64" s="232"/>
      <c r="FTM64" s="233"/>
      <c r="FTN64" s="233"/>
      <c r="FTO64" s="233"/>
      <c r="FTP64" s="233"/>
      <c r="FTQ64" s="233"/>
      <c r="FTR64" s="233"/>
      <c r="FTS64" s="231"/>
      <c r="FTT64" s="231"/>
      <c r="FTU64" s="229"/>
      <c r="FTV64" s="230"/>
      <c r="FTW64" s="231"/>
      <c r="FTX64" s="232"/>
      <c r="FTY64" s="233"/>
      <c r="FTZ64" s="233"/>
      <c r="FUA64" s="233"/>
      <c r="FUB64" s="233"/>
      <c r="FUC64" s="233"/>
      <c r="FUD64" s="233"/>
      <c r="FUE64" s="231"/>
      <c r="FUF64" s="231"/>
      <c r="FUG64" s="229"/>
      <c r="FUH64" s="230"/>
      <c r="FUI64" s="231"/>
      <c r="FUJ64" s="232"/>
      <c r="FUK64" s="233"/>
      <c r="FUL64" s="233"/>
      <c r="FUM64" s="233"/>
      <c r="FUN64" s="233"/>
      <c r="FUO64" s="233"/>
      <c r="FUP64" s="233"/>
      <c r="FUQ64" s="231"/>
      <c r="FUR64" s="231"/>
      <c r="FUS64" s="229"/>
      <c r="FUT64" s="230"/>
      <c r="FUU64" s="231"/>
      <c r="FUV64" s="232"/>
      <c r="FUW64" s="233"/>
      <c r="FUX64" s="233"/>
      <c r="FUY64" s="233"/>
      <c r="FUZ64" s="233"/>
      <c r="FVA64" s="233"/>
      <c r="FVB64" s="233"/>
      <c r="FVC64" s="231"/>
      <c r="FVD64" s="231"/>
      <c r="FVE64" s="229"/>
      <c r="FVF64" s="230"/>
      <c r="FVG64" s="231"/>
      <c r="FVH64" s="232"/>
      <c r="FVI64" s="233"/>
      <c r="FVJ64" s="233"/>
      <c r="FVK64" s="233"/>
      <c r="FVL64" s="233"/>
      <c r="FVM64" s="233"/>
      <c r="FVN64" s="233"/>
      <c r="FVO64" s="231"/>
      <c r="FVP64" s="231"/>
      <c r="FVQ64" s="229"/>
      <c r="FVR64" s="230"/>
      <c r="FVS64" s="231"/>
      <c r="FVT64" s="232"/>
      <c r="FVU64" s="233"/>
      <c r="FVV64" s="233"/>
      <c r="FVW64" s="233"/>
      <c r="FVX64" s="233"/>
      <c r="FVY64" s="233"/>
      <c r="FVZ64" s="233"/>
      <c r="FWA64" s="231"/>
      <c r="FWB64" s="231"/>
      <c r="FWC64" s="229"/>
      <c r="FWD64" s="230"/>
      <c r="FWE64" s="231"/>
      <c r="FWF64" s="232"/>
      <c r="FWG64" s="233"/>
      <c r="FWH64" s="233"/>
      <c r="FWI64" s="233"/>
      <c r="FWJ64" s="233"/>
      <c r="FWK64" s="233"/>
      <c r="FWL64" s="233"/>
      <c r="FWM64" s="231"/>
      <c r="FWN64" s="231"/>
      <c r="FWO64" s="229"/>
      <c r="FWP64" s="230"/>
      <c r="FWQ64" s="231"/>
      <c r="FWR64" s="232"/>
      <c r="FWS64" s="233"/>
      <c r="FWT64" s="233"/>
      <c r="FWU64" s="233"/>
      <c r="FWV64" s="233"/>
      <c r="FWW64" s="233"/>
      <c r="FWX64" s="233"/>
      <c r="FWY64" s="231"/>
      <c r="FWZ64" s="231"/>
      <c r="FXA64" s="229"/>
      <c r="FXB64" s="230"/>
      <c r="FXC64" s="231"/>
      <c r="FXD64" s="232"/>
      <c r="FXE64" s="233"/>
      <c r="FXF64" s="233"/>
      <c r="FXG64" s="233"/>
      <c r="FXH64" s="233"/>
      <c r="FXI64" s="233"/>
      <c r="FXJ64" s="233"/>
      <c r="FXK64" s="231"/>
      <c r="FXL64" s="231"/>
      <c r="FXM64" s="229"/>
      <c r="FXN64" s="230"/>
      <c r="FXO64" s="231"/>
      <c r="FXP64" s="232"/>
      <c r="FXQ64" s="233"/>
      <c r="FXR64" s="233"/>
      <c r="FXS64" s="233"/>
      <c r="FXT64" s="233"/>
      <c r="FXU64" s="233"/>
      <c r="FXV64" s="233"/>
      <c r="FXW64" s="231"/>
      <c r="FXX64" s="231"/>
      <c r="FXY64" s="229"/>
      <c r="FXZ64" s="230"/>
      <c r="FYA64" s="231"/>
      <c r="FYB64" s="232"/>
      <c r="FYC64" s="233"/>
      <c r="FYD64" s="233"/>
      <c r="FYE64" s="233"/>
      <c r="FYF64" s="233"/>
      <c r="FYG64" s="233"/>
      <c r="FYH64" s="233"/>
      <c r="FYI64" s="231"/>
      <c r="FYJ64" s="231"/>
      <c r="FYK64" s="229"/>
      <c r="FYL64" s="230"/>
      <c r="FYM64" s="231"/>
      <c r="FYN64" s="232"/>
      <c r="FYO64" s="233"/>
      <c r="FYP64" s="233"/>
      <c r="FYQ64" s="233"/>
      <c r="FYR64" s="233"/>
      <c r="FYS64" s="233"/>
      <c r="FYT64" s="233"/>
      <c r="FYU64" s="231"/>
      <c r="FYV64" s="231"/>
      <c r="FYW64" s="229"/>
      <c r="FYX64" s="230"/>
      <c r="FYY64" s="231"/>
      <c r="FYZ64" s="232"/>
      <c r="FZA64" s="233"/>
      <c r="FZB64" s="233"/>
      <c r="FZC64" s="233"/>
      <c r="FZD64" s="233"/>
      <c r="FZE64" s="233"/>
      <c r="FZF64" s="233"/>
      <c r="FZG64" s="231"/>
      <c r="FZH64" s="231"/>
      <c r="FZI64" s="229"/>
      <c r="FZJ64" s="230"/>
      <c r="FZK64" s="231"/>
      <c r="FZL64" s="232"/>
      <c r="FZM64" s="233"/>
      <c r="FZN64" s="233"/>
      <c r="FZO64" s="233"/>
      <c r="FZP64" s="233"/>
      <c r="FZQ64" s="233"/>
      <c r="FZR64" s="233"/>
      <c r="FZS64" s="231"/>
      <c r="FZT64" s="231"/>
      <c r="FZU64" s="229"/>
      <c r="FZV64" s="230"/>
      <c r="FZW64" s="231"/>
      <c r="FZX64" s="232"/>
      <c r="FZY64" s="233"/>
      <c r="FZZ64" s="233"/>
      <c r="GAA64" s="233"/>
      <c r="GAB64" s="233"/>
      <c r="GAC64" s="233"/>
      <c r="GAD64" s="233"/>
      <c r="GAE64" s="231"/>
      <c r="GAF64" s="231"/>
      <c r="GAG64" s="229"/>
      <c r="GAH64" s="230"/>
      <c r="GAI64" s="231"/>
      <c r="GAJ64" s="232"/>
      <c r="GAK64" s="233"/>
      <c r="GAL64" s="233"/>
      <c r="GAM64" s="233"/>
      <c r="GAN64" s="233"/>
      <c r="GAO64" s="233"/>
      <c r="GAP64" s="233"/>
      <c r="GAQ64" s="231"/>
      <c r="GAR64" s="231"/>
      <c r="GAS64" s="229"/>
      <c r="GAT64" s="230"/>
      <c r="GAU64" s="231"/>
      <c r="GAV64" s="232"/>
      <c r="GAW64" s="233"/>
      <c r="GAX64" s="233"/>
      <c r="GAY64" s="233"/>
      <c r="GAZ64" s="233"/>
      <c r="GBA64" s="233"/>
      <c r="GBB64" s="233"/>
      <c r="GBC64" s="231"/>
      <c r="GBD64" s="231"/>
      <c r="GBE64" s="229"/>
      <c r="GBF64" s="230"/>
      <c r="GBG64" s="231"/>
      <c r="GBH64" s="232"/>
      <c r="GBI64" s="233"/>
      <c r="GBJ64" s="233"/>
      <c r="GBK64" s="233"/>
      <c r="GBL64" s="233"/>
      <c r="GBM64" s="233"/>
      <c r="GBN64" s="233"/>
      <c r="GBO64" s="231"/>
      <c r="GBP64" s="231"/>
      <c r="GBQ64" s="229"/>
      <c r="GBR64" s="230"/>
      <c r="GBS64" s="231"/>
      <c r="GBT64" s="232"/>
      <c r="GBU64" s="233"/>
      <c r="GBV64" s="233"/>
      <c r="GBW64" s="233"/>
      <c r="GBX64" s="233"/>
      <c r="GBY64" s="233"/>
      <c r="GBZ64" s="233"/>
      <c r="GCA64" s="231"/>
      <c r="GCB64" s="231"/>
      <c r="GCC64" s="229"/>
      <c r="GCD64" s="230"/>
      <c r="GCE64" s="231"/>
      <c r="GCF64" s="232"/>
      <c r="GCG64" s="233"/>
      <c r="GCH64" s="233"/>
      <c r="GCI64" s="233"/>
      <c r="GCJ64" s="233"/>
      <c r="GCK64" s="233"/>
      <c r="GCL64" s="233"/>
      <c r="GCM64" s="231"/>
      <c r="GCN64" s="231"/>
      <c r="GCO64" s="229"/>
      <c r="GCP64" s="230"/>
      <c r="GCQ64" s="231"/>
      <c r="GCR64" s="232"/>
      <c r="GCS64" s="233"/>
      <c r="GCT64" s="233"/>
      <c r="GCU64" s="233"/>
      <c r="GCV64" s="233"/>
      <c r="GCW64" s="233"/>
      <c r="GCX64" s="233"/>
      <c r="GCY64" s="231"/>
      <c r="GCZ64" s="231"/>
      <c r="GDA64" s="229"/>
      <c r="GDB64" s="230"/>
      <c r="GDC64" s="231"/>
      <c r="GDD64" s="232"/>
      <c r="GDE64" s="233"/>
      <c r="GDF64" s="233"/>
      <c r="GDG64" s="233"/>
      <c r="GDH64" s="233"/>
      <c r="GDI64" s="233"/>
      <c r="GDJ64" s="233"/>
      <c r="GDK64" s="231"/>
      <c r="GDL64" s="231"/>
      <c r="GDM64" s="229"/>
      <c r="GDN64" s="230"/>
      <c r="GDO64" s="231"/>
      <c r="GDP64" s="232"/>
      <c r="GDQ64" s="233"/>
      <c r="GDR64" s="233"/>
      <c r="GDS64" s="233"/>
      <c r="GDT64" s="233"/>
      <c r="GDU64" s="233"/>
      <c r="GDV64" s="233"/>
      <c r="GDW64" s="231"/>
      <c r="GDX64" s="231"/>
      <c r="GDY64" s="229"/>
      <c r="GDZ64" s="230"/>
      <c r="GEA64" s="231"/>
      <c r="GEB64" s="232"/>
      <c r="GEC64" s="233"/>
      <c r="GED64" s="233"/>
      <c r="GEE64" s="233"/>
      <c r="GEF64" s="233"/>
      <c r="GEG64" s="233"/>
      <c r="GEH64" s="233"/>
      <c r="GEI64" s="231"/>
      <c r="GEJ64" s="231"/>
      <c r="GEK64" s="229"/>
      <c r="GEL64" s="230"/>
      <c r="GEM64" s="231"/>
      <c r="GEN64" s="232"/>
      <c r="GEO64" s="233"/>
      <c r="GEP64" s="233"/>
      <c r="GEQ64" s="233"/>
      <c r="GER64" s="233"/>
      <c r="GES64" s="233"/>
      <c r="GET64" s="233"/>
      <c r="GEU64" s="231"/>
      <c r="GEV64" s="231"/>
      <c r="GEW64" s="229"/>
      <c r="GEX64" s="230"/>
      <c r="GEY64" s="231"/>
      <c r="GEZ64" s="232"/>
      <c r="GFA64" s="233"/>
      <c r="GFB64" s="233"/>
      <c r="GFC64" s="233"/>
      <c r="GFD64" s="233"/>
      <c r="GFE64" s="233"/>
      <c r="GFF64" s="233"/>
      <c r="GFG64" s="231"/>
      <c r="GFH64" s="231"/>
      <c r="GFI64" s="229"/>
      <c r="GFJ64" s="230"/>
      <c r="GFK64" s="231"/>
      <c r="GFL64" s="232"/>
      <c r="GFM64" s="233"/>
      <c r="GFN64" s="233"/>
      <c r="GFO64" s="233"/>
      <c r="GFP64" s="233"/>
      <c r="GFQ64" s="233"/>
      <c r="GFR64" s="233"/>
      <c r="GFS64" s="231"/>
      <c r="GFT64" s="231"/>
      <c r="GFU64" s="229"/>
      <c r="GFV64" s="230"/>
      <c r="GFW64" s="231"/>
      <c r="GFX64" s="232"/>
      <c r="GFY64" s="233"/>
      <c r="GFZ64" s="233"/>
      <c r="GGA64" s="233"/>
      <c r="GGB64" s="233"/>
      <c r="GGC64" s="233"/>
      <c r="GGD64" s="233"/>
      <c r="GGE64" s="231"/>
      <c r="GGF64" s="231"/>
      <c r="GGG64" s="229"/>
      <c r="GGH64" s="230"/>
      <c r="GGI64" s="231"/>
      <c r="GGJ64" s="232"/>
      <c r="GGK64" s="233"/>
      <c r="GGL64" s="233"/>
      <c r="GGM64" s="233"/>
      <c r="GGN64" s="233"/>
      <c r="GGO64" s="233"/>
      <c r="GGP64" s="233"/>
      <c r="GGQ64" s="231"/>
      <c r="GGR64" s="231"/>
      <c r="GGS64" s="229"/>
      <c r="GGT64" s="230"/>
      <c r="GGU64" s="231"/>
      <c r="GGV64" s="232"/>
      <c r="GGW64" s="233"/>
      <c r="GGX64" s="233"/>
      <c r="GGY64" s="233"/>
      <c r="GGZ64" s="233"/>
      <c r="GHA64" s="233"/>
      <c r="GHB64" s="233"/>
      <c r="GHC64" s="231"/>
      <c r="GHD64" s="231"/>
      <c r="GHE64" s="229"/>
      <c r="GHF64" s="230"/>
      <c r="GHG64" s="231"/>
      <c r="GHH64" s="232"/>
      <c r="GHI64" s="233"/>
      <c r="GHJ64" s="233"/>
      <c r="GHK64" s="233"/>
      <c r="GHL64" s="233"/>
      <c r="GHM64" s="233"/>
      <c r="GHN64" s="233"/>
      <c r="GHO64" s="231"/>
      <c r="GHP64" s="231"/>
      <c r="GHQ64" s="229"/>
      <c r="GHR64" s="230"/>
      <c r="GHS64" s="231"/>
      <c r="GHT64" s="232"/>
      <c r="GHU64" s="233"/>
      <c r="GHV64" s="233"/>
      <c r="GHW64" s="233"/>
      <c r="GHX64" s="233"/>
      <c r="GHY64" s="233"/>
      <c r="GHZ64" s="233"/>
      <c r="GIA64" s="231"/>
      <c r="GIB64" s="231"/>
      <c r="GIC64" s="229"/>
      <c r="GID64" s="230"/>
      <c r="GIE64" s="231"/>
      <c r="GIF64" s="232"/>
      <c r="GIG64" s="233"/>
      <c r="GIH64" s="233"/>
      <c r="GII64" s="233"/>
      <c r="GIJ64" s="233"/>
      <c r="GIK64" s="233"/>
      <c r="GIL64" s="233"/>
      <c r="GIM64" s="231"/>
      <c r="GIN64" s="231"/>
      <c r="GIO64" s="229"/>
      <c r="GIP64" s="230"/>
      <c r="GIQ64" s="231"/>
      <c r="GIR64" s="232"/>
      <c r="GIS64" s="233"/>
      <c r="GIT64" s="233"/>
      <c r="GIU64" s="233"/>
      <c r="GIV64" s="233"/>
      <c r="GIW64" s="233"/>
      <c r="GIX64" s="233"/>
      <c r="GIY64" s="231"/>
      <c r="GIZ64" s="231"/>
      <c r="GJA64" s="229"/>
      <c r="GJB64" s="230"/>
      <c r="GJC64" s="231"/>
      <c r="GJD64" s="232"/>
      <c r="GJE64" s="233"/>
      <c r="GJF64" s="233"/>
      <c r="GJG64" s="233"/>
      <c r="GJH64" s="233"/>
      <c r="GJI64" s="233"/>
      <c r="GJJ64" s="233"/>
      <c r="GJK64" s="231"/>
      <c r="GJL64" s="231"/>
      <c r="GJM64" s="229"/>
      <c r="GJN64" s="230"/>
      <c r="GJO64" s="231"/>
      <c r="GJP64" s="232"/>
      <c r="GJQ64" s="233"/>
      <c r="GJR64" s="233"/>
      <c r="GJS64" s="233"/>
      <c r="GJT64" s="233"/>
      <c r="GJU64" s="233"/>
      <c r="GJV64" s="233"/>
      <c r="GJW64" s="231"/>
      <c r="GJX64" s="231"/>
      <c r="GJY64" s="229"/>
      <c r="GJZ64" s="230"/>
      <c r="GKA64" s="231"/>
      <c r="GKB64" s="232"/>
      <c r="GKC64" s="233"/>
      <c r="GKD64" s="233"/>
      <c r="GKE64" s="233"/>
      <c r="GKF64" s="233"/>
      <c r="GKG64" s="233"/>
      <c r="GKH64" s="233"/>
      <c r="GKI64" s="231"/>
      <c r="GKJ64" s="231"/>
      <c r="GKK64" s="229"/>
      <c r="GKL64" s="230"/>
      <c r="GKM64" s="231"/>
      <c r="GKN64" s="232"/>
      <c r="GKO64" s="233"/>
      <c r="GKP64" s="233"/>
      <c r="GKQ64" s="233"/>
      <c r="GKR64" s="233"/>
      <c r="GKS64" s="233"/>
      <c r="GKT64" s="233"/>
      <c r="GKU64" s="231"/>
      <c r="GKV64" s="231"/>
      <c r="GKW64" s="229"/>
      <c r="GKX64" s="230"/>
      <c r="GKY64" s="231"/>
      <c r="GKZ64" s="232"/>
      <c r="GLA64" s="233"/>
      <c r="GLB64" s="233"/>
      <c r="GLC64" s="233"/>
      <c r="GLD64" s="233"/>
      <c r="GLE64" s="233"/>
      <c r="GLF64" s="233"/>
      <c r="GLG64" s="231"/>
      <c r="GLH64" s="231"/>
      <c r="GLI64" s="229"/>
      <c r="GLJ64" s="230"/>
      <c r="GLK64" s="231"/>
      <c r="GLL64" s="232"/>
      <c r="GLM64" s="233"/>
      <c r="GLN64" s="233"/>
      <c r="GLO64" s="233"/>
      <c r="GLP64" s="233"/>
      <c r="GLQ64" s="233"/>
      <c r="GLR64" s="233"/>
      <c r="GLS64" s="231"/>
      <c r="GLT64" s="231"/>
      <c r="GLU64" s="229"/>
      <c r="GLV64" s="230"/>
      <c r="GLW64" s="231"/>
      <c r="GLX64" s="232"/>
      <c r="GLY64" s="233"/>
      <c r="GLZ64" s="233"/>
      <c r="GMA64" s="233"/>
      <c r="GMB64" s="233"/>
      <c r="GMC64" s="233"/>
      <c r="GMD64" s="233"/>
      <c r="GME64" s="231"/>
      <c r="GMF64" s="231"/>
      <c r="GMG64" s="229"/>
      <c r="GMH64" s="230"/>
      <c r="GMI64" s="231"/>
      <c r="GMJ64" s="232"/>
      <c r="GMK64" s="233"/>
      <c r="GML64" s="233"/>
      <c r="GMM64" s="233"/>
      <c r="GMN64" s="233"/>
      <c r="GMO64" s="233"/>
      <c r="GMP64" s="233"/>
      <c r="GMQ64" s="231"/>
      <c r="GMR64" s="231"/>
      <c r="GMS64" s="229"/>
      <c r="GMT64" s="230"/>
      <c r="GMU64" s="231"/>
      <c r="GMV64" s="232"/>
      <c r="GMW64" s="233"/>
      <c r="GMX64" s="233"/>
      <c r="GMY64" s="233"/>
      <c r="GMZ64" s="233"/>
      <c r="GNA64" s="233"/>
      <c r="GNB64" s="233"/>
      <c r="GNC64" s="231"/>
      <c r="GND64" s="231"/>
      <c r="GNE64" s="229"/>
      <c r="GNF64" s="230"/>
      <c r="GNG64" s="231"/>
      <c r="GNH64" s="232"/>
      <c r="GNI64" s="233"/>
      <c r="GNJ64" s="233"/>
      <c r="GNK64" s="233"/>
      <c r="GNL64" s="233"/>
      <c r="GNM64" s="233"/>
      <c r="GNN64" s="233"/>
      <c r="GNO64" s="231"/>
      <c r="GNP64" s="231"/>
      <c r="GNQ64" s="229"/>
      <c r="GNR64" s="230"/>
      <c r="GNS64" s="231"/>
      <c r="GNT64" s="232"/>
      <c r="GNU64" s="233"/>
      <c r="GNV64" s="233"/>
      <c r="GNW64" s="233"/>
      <c r="GNX64" s="233"/>
      <c r="GNY64" s="233"/>
      <c r="GNZ64" s="233"/>
      <c r="GOA64" s="231"/>
      <c r="GOB64" s="231"/>
      <c r="GOC64" s="229"/>
      <c r="GOD64" s="230"/>
      <c r="GOE64" s="231"/>
      <c r="GOF64" s="232"/>
      <c r="GOG64" s="233"/>
      <c r="GOH64" s="233"/>
      <c r="GOI64" s="233"/>
      <c r="GOJ64" s="233"/>
      <c r="GOK64" s="233"/>
      <c r="GOL64" s="233"/>
      <c r="GOM64" s="231"/>
      <c r="GON64" s="231"/>
      <c r="GOO64" s="229"/>
      <c r="GOP64" s="230"/>
      <c r="GOQ64" s="231"/>
      <c r="GOR64" s="232"/>
      <c r="GOS64" s="233"/>
      <c r="GOT64" s="233"/>
      <c r="GOU64" s="233"/>
      <c r="GOV64" s="233"/>
      <c r="GOW64" s="233"/>
      <c r="GOX64" s="233"/>
      <c r="GOY64" s="231"/>
      <c r="GOZ64" s="231"/>
      <c r="GPA64" s="229"/>
      <c r="GPB64" s="230"/>
      <c r="GPC64" s="231"/>
      <c r="GPD64" s="232"/>
      <c r="GPE64" s="233"/>
      <c r="GPF64" s="233"/>
      <c r="GPG64" s="233"/>
      <c r="GPH64" s="233"/>
      <c r="GPI64" s="233"/>
      <c r="GPJ64" s="233"/>
      <c r="GPK64" s="231"/>
      <c r="GPL64" s="231"/>
      <c r="GPM64" s="229"/>
      <c r="GPN64" s="230"/>
      <c r="GPO64" s="231"/>
      <c r="GPP64" s="232"/>
      <c r="GPQ64" s="233"/>
      <c r="GPR64" s="233"/>
      <c r="GPS64" s="233"/>
      <c r="GPT64" s="233"/>
      <c r="GPU64" s="233"/>
      <c r="GPV64" s="233"/>
      <c r="GPW64" s="231"/>
      <c r="GPX64" s="231"/>
      <c r="GPY64" s="229"/>
      <c r="GPZ64" s="230"/>
      <c r="GQA64" s="231"/>
      <c r="GQB64" s="232"/>
      <c r="GQC64" s="233"/>
      <c r="GQD64" s="233"/>
      <c r="GQE64" s="233"/>
      <c r="GQF64" s="233"/>
      <c r="GQG64" s="233"/>
      <c r="GQH64" s="233"/>
      <c r="GQI64" s="231"/>
      <c r="GQJ64" s="231"/>
      <c r="GQK64" s="229"/>
      <c r="GQL64" s="230"/>
      <c r="GQM64" s="231"/>
      <c r="GQN64" s="232"/>
      <c r="GQO64" s="233"/>
      <c r="GQP64" s="233"/>
      <c r="GQQ64" s="233"/>
      <c r="GQR64" s="233"/>
      <c r="GQS64" s="233"/>
      <c r="GQT64" s="233"/>
      <c r="GQU64" s="231"/>
      <c r="GQV64" s="231"/>
      <c r="GQW64" s="229"/>
      <c r="GQX64" s="230"/>
      <c r="GQY64" s="231"/>
      <c r="GQZ64" s="232"/>
      <c r="GRA64" s="233"/>
      <c r="GRB64" s="233"/>
      <c r="GRC64" s="233"/>
      <c r="GRD64" s="233"/>
      <c r="GRE64" s="233"/>
      <c r="GRF64" s="233"/>
      <c r="GRG64" s="231"/>
      <c r="GRH64" s="231"/>
      <c r="GRI64" s="229"/>
      <c r="GRJ64" s="230"/>
      <c r="GRK64" s="231"/>
      <c r="GRL64" s="232"/>
      <c r="GRM64" s="233"/>
      <c r="GRN64" s="233"/>
      <c r="GRO64" s="233"/>
      <c r="GRP64" s="233"/>
      <c r="GRQ64" s="233"/>
      <c r="GRR64" s="233"/>
      <c r="GRS64" s="231"/>
      <c r="GRT64" s="231"/>
      <c r="GRU64" s="229"/>
      <c r="GRV64" s="230"/>
      <c r="GRW64" s="231"/>
      <c r="GRX64" s="232"/>
      <c r="GRY64" s="233"/>
      <c r="GRZ64" s="233"/>
      <c r="GSA64" s="233"/>
      <c r="GSB64" s="233"/>
      <c r="GSC64" s="233"/>
      <c r="GSD64" s="233"/>
      <c r="GSE64" s="231"/>
      <c r="GSF64" s="231"/>
      <c r="GSG64" s="229"/>
      <c r="GSH64" s="230"/>
      <c r="GSI64" s="231"/>
      <c r="GSJ64" s="232"/>
      <c r="GSK64" s="233"/>
      <c r="GSL64" s="233"/>
      <c r="GSM64" s="233"/>
      <c r="GSN64" s="233"/>
      <c r="GSO64" s="233"/>
      <c r="GSP64" s="233"/>
      <c r="GSQ64" s="231"/>
      <c r="GSR64" s="231"/>
      <c r="GSS64" s="229"/>
      <c r="GST64" s="230"/>
      <c r="GSU64" s="231"/>
      <c r="GSV64" s="232"/>
      <c r="GSW64" s="233"/>
      <c r="GSX64" s="233"/>
      <c r="GSY64" s="233"/>
      <c r="GSZ64" s="233"/>
      <c r="GTA64" s="233"/>
      <c r="GTB64" s="233"/>
      <c r="GTC64" s="231"/>
      <c r="GTD64" s="231"/>
      <c r="GTE64" s="229"/>
      <c r="GTF64" s="230"/>
      <c r="GTG64" s="231"/>
      <c r="GTH64" s="232"/>
      <c r="GTI64" s="233"/>
      <c r="GTJ64" s="233"/>
      <c r="GTK64" s="233"/>
      <c r="GTL64" s="233"/>
      <c r="GTM64" s="233"/>
      <c r="GTN64" s="233"/>
      <c r="GTO64" s="231"/>
      <c r="GTP64" s="231"/>
      <c r="GTQ64" s="229"/>
      <c r="GTR64" s="230"/>
      <c r="GTS64" s="231"/>
      <c r="GTT64" s="232"/>
      <c r="GTU64" s="233"/>
      <c r="GTV64" s="233"/>
      <c r="GTW64" s="233"/>
      <c r="GTX64" s="233"/>
      <c r="GTY64" s="233"/>
      <c r="GTZ64" s="233"/>
      <c r="GUA64" s="231"/>
      <c r="GUB64" s="231"/>
      <c r="GUC64" s="229"/>
      <c r="GUD64" s="230"/>
      <c r="GUE64" s="231"/>
      <c r="GUF64" s="232"/>
      <c r="GUG64" s="233"/>
      <c r="GUH64" s="233"/>
      <c r="GUI64" s="233"/>
      <c r="GUJ64" s="233"/>
      <c r="GUK64" s="233"/>
      <c r="GUL64" s="233"/>
      <c r="GUM64" s="231"/>
      <c r="GUN64" s="231"/>
      <c r="GUO64" s="229"/>
      <c r="GUP64" s="230"/>
      <c r="GUQ64" s="231"/>
      <c r="GUR64" s="232"/>
      <c r="GUS64" s="233"/>
      <c r="GUT64" s="233"/>
      <c r="GUU64" s="233"/>
      <c r="GUV64" s="233"/>
      <c r="GUW64" s="233"/>
      <c r="GUX64" s="233"/>
      <c r="GUY64" s="231"/>
      <c r="GUZ64" s="231"/>
      <c r="GVA64" s="229"/>
      <c r="GVB64" s="230"/>
      <c r="GVC64" s="231"/>
      <c r="GVD64" s="232"/>
      <c r="GVE64" s="233"/>
      <c r="GVF64" s="233"/>
      <c r="GVG64" s="233"/>
      <c r="GVH64" s="233"/>
      <c r="GVI64" s="233"/>
      <c r="GVJ64" s="233"/>
      <c r="GVK64" s="231"/>
      <c r="GVL64" s="231"/>
      <c r="GVM64" s="229"/>
      <c r="GVN64" s="230"/>
      <c r="GVO64" s="231"/>
      <c r="GVP64" s="232"/>
      <c r="GVQ64" s="233"/>
      <c r="GVR64" s="233"/>
      <c r="GVS64" s="233"/>
      <c r="GVT64" s="233"/>
      <c r="GVU64" s="233"/>
      <c r="GVV64" s="233"/>
      <c r="GVW64" s="231"/>
      <c r="GVX64" s="231"/>
      <c r="GVY64" s="229"/>
      <c r="GVZ64" s="230"/>
      <c r="GWA64" s="231"/>
      <c r="GWB64" s="232"/>
      <c r="GWC64" s="233"/>
      <c r="GWD64" s="233"/>
      <c r="GWE64" s="233"/>
      <c r="GWF64" s="233"/>
      <c r="GWG64" s="233"/>
      <c r="GWH64" s="233"/>
      <c r="GWI64" s="231"/>
      <c r="GWJ64" s="231"/>
      <c r="GWK64" s="229"/>
      <c r="GWL64" s="230"/>
      <c r="GWM64" s="231"/>
      <c r="GWN64" s="232"/>
      <c r="GWO64" s="233"/>
      <c r="GWP64" s="233"/>
      <c r="GWQ64" s="233"/>
      <c r="GWR64" s="233"/>
      <c r="GWS64" s="233"/>
      <c r="GWT64" s="233"/>
      <c r="GWU64" s="231"/>
      <c r="GWV64" s="231"/>
      <c r="GWW64" s="229"/>
      <c r="GWX64" s="230"/>
      <c r="GWY64" s="231"/>
      <c r="GWZ64" s="232"/>
      <c r="GXA64" s="233"/>
      <c r="GXB64" s="233"/>
      <c r="GXC64" s="233"/>
      <c r="GXD64" s="233"/>
      <c r="GXE64" s="233"/>
      <c r="GXF64" s="233"/>
      <c r="GXG64" s="231"/>
      <c r="GXH64" s="231"/>
      <c r="GXI64" s="229"/>
      <c r="GXJ64" s="230"/>
      <c r="GXK64" s="231"/>
      <c r="GXL64" s="232"/>
      <c r="GXM64" s="233"/>
      <c r="GXN64" s="233"/>
      <c r="GXO64" s="233"/>
      <c r="GXP64" s="233"/>
      <c r="GXQ64" s="233"/>
      <c r="GXR64" s="233"/>
      <c r="GXS64" s="231"/>
      <c r="GXT64" s="231"/>
      <c r="GXU64" s="229"/>
      <c r="GXV64" s="230"/>
      <c r="GXW64" s="231"/>
      <c r="GXX64" s="232"/>
      <c r="GXY64" s="233"/>
      <c r="GXZ64" s="233"/>
      <c r="GYA64" s="233"/>
      <c r="GYB64" s="233"/>
      <c r="GYC64" s="233"/>
      <c r="GYD64" s="233"/>
      <c r="GYE64" s="231"/>
      <c r="GYF64" s="231"/>
      <c r="GYG64" s="229"/>
      <c r="GYH64" s="230"/>
      <c r="GYI64" s="231"/>
      <c r="GYJ64" s="232"/>
      <c r="GYK64" s="233"/>
      <c r="GYL64" s="233"/>
      <c r="GYM64" s="233"/>
      <c r="GYN64" s="233"/>
      <c r="GYO64" s="233"/>
      <c r="GYP64" s="233"/>
      <c r="GYQ64" s="231"/>
      <c r="GYR64" s="231"/>
      <c r="GYS64" s="229"/>
      <c r="GYT64" s="230"/>
      <c r="GYU64" s="231"/>
      <c r="GYV64" s="232"/>
      <c r="GYW64" s="233"/>
      <c r="GYX64" s="233"/>
      <c r="GYY64" s="233"/>
      <c r="GYZ64" s="233"/>
      <c r="GZA64" s="233"/>
      <c r="GZB64" s="233"/>
      <c r="GZC64" s="231"/>
      <c r="GZD64" s="231"/>
      <c r="GZE64" s="229"/>
      <c r="GZF64" s="230"/>
      <c r="GZG64" s="231"/>
      <c r="GZH64" s="232"/>
      <c r="GZI64" s="233"/>
      <c r="GZJ64" s="233"/>
      <c r="GZK64" s="233"/>
      <c r="GZL64" s="233"/>
      <c r="GZM64" s="233"/>
      <c r="GZN64" s="233"/>
      <c r="GZO64" s="231"/>
      <c r="GZP64" s="231"/>
      <c r="GZQ64" s="229"/>
      <c r="GZR64" s="230"/>
      <c r="GZS64" s="231"/>
      <c r="GZT64" s="232"/>
      <c r="GZU64" s="233"/>
      <c r="GZV64" s="233"/>
      <c r="GZW64" s="233"/>
      <c r="GZX64" s="233"/>
      <c r="GZY64" s="233"/>
      <c r="GZZ64" s="233"/>
      <c r="HAA64" s="231"/>
      <c r="HAB64" s="231"/>
      <c r="HAC64" s="229"/>
      <c r="HAD64" s="230"/>
      <c r="HAE64" s="231"/>
      <c r="HAF64" s="232"/>
      <c r="HAG64" s="233"/>
      <c r="HAH64" s="233"/>
      <c r="HAI64" s="233"/>
      <c r="HAJ64" s="233"/>
      <c r="HAK64" s="233"/>
      <c r="HAL64" s="233"/>
      <c r="HAM64" s="231"/>
      <c r="HAN64" s="231"/>
      <c r="HAO64" s="229"/>
      <c r="HAP64" s="230"/>
      <c r="HAQ64" s="231"/>
      <c r="HAR64" s="232"/>
      <c r="HAS64" s="233"/>
      <c r="HAT64" s="233"/>
      <c r="HAU64" s="233"/>
      <c r="HAV64" s="233"/>
      <c r="HAW64" s="233"/>
      <c r="HAX64" s="233"/>
      <c r="HAY64" s="231"/>
      <c r="HAZ64" s="231"/>
      <c r="HBA64" s="229"/>
      <c r="HBB64" s="230"/>
      <c r="HBC64" s="231"/>
      <c r="HBD64" s="232"/>
      <c r="HBE64" s="233"/>
      <c r="HBF64" s="233"/>
      <c r="HBG64" s="233"/>
      <c r="HBH64" s="233"/>
      <c r="HBI64" s="233"/>
      <c r="HBJ64" s="233"/>
      <c r="HBK64" s="231"/>
      <c r="HBL64" s="231"/>
      <c r="HBM64" s="229"/>
      <c r="HBN64" s="230"/>
      <c r="HBO64" s="231"/>
      <c r="HBP64" s="232"/>
      <c r="HBQ64" s="233"/>
      <c r="HBR64" s="233"/>
      <c r="HBS64" s="233"/>
      <c r="HBT64" s="233"/>
      <c r="HBU64" s="233"/>
      <c r="HBV64" s="233"/>
      <c r="HBW64" s="231"/>
      <c r="HBX64" s="231"/>
      <c r="HBY64" s="229"/>
      <c r="HBZ64" s="230"/>
      <c r="HCA64" s="231"/>
      <c r="HCB64" s="232"/>
      <c r="HCC64" s="233"/>
      <c r="HCD64" s="233"/>
      <c r="HCE64" s="233"/>
      <c r="HCF64" s="233"/>
      <c r="HCG64" s="233"/>
      <c r="HCH64" s="233"/>
      <c r="HCI64" s="231"/>
      <c r="HCJ64" s="231"/>
      <c r="HCK64" s="229"/>
      <c r="HCL64" s="230"/>
      <c r="HCM64" s="231"/>
      <c r="HCN64" s="232"/>
      <c r="HCO64" s="233"/>
      <c r="HCP64" s="233"/>
      <c r="HCQ64" s="233"/>
      <c r="HCR64" s="233"/>
      <c r="HCS64" s="233"/>
      <c r="HCT64" s="233"/>
      <c r="HCU64" s="231"/>
      <c r="HCV64" s="231"/>
      <c r="HCW64" s="229"/>
      <c r="HCX64" s="230"/>
      <c r="HCY64" s="231"/>
      <c r="HCZ64" s="232"/>
      <c r="HDA64" s="233"/>
      <c r="HDB64" s="233"/>
      <c r="HDC64" s="233"/>
      <c r="HDD64" s="233"/>
      <c r="HDE64" s="233"/>
      <c r="HDF64" s="233"/>
      <c r="HDG64" s="231"/>
      <c r="HDH64" s="231"/>
      <c r="HDI64" s="229"/>
      <c r="HDJ64" s="230"/>
      <c r="HDK64" s="231"/>
      <c r="HDL64" s="232"/>
      <c r="HDM64" s="233"/>
      <c r="HDN64" s="233"/>
      <c r="HDO64" s="233"/>
      <c r="HDP64" s="233"/>
      <c r="HDQ64" s="233"/>
      <c r="HDR64" s="233"/>
      <c r="HDS64" s="231"/>
      <c r="HDT64" s="231"/>
      <c r="HDU64" s="229"/>
      <c r="HDV64" s="230"/>
      <c r="HDW64" s="231"/>
      <c r="HDX64" s="232"/>
      <c r="HDY64" s="233"/>
      <c r="HDZ64" s="233"/>
      <c r="HEA64" s="233"/>
      <c r="HEB64" s="233"/>
      <c r="HEC64" s="233"/>
      <c r="HED64" s="233"/>
      <c r="HEE64" s="231"/>
      <c r="HEF64" s="231"/>
      <c r="HEG64" s="229"/>
      <c r="HEH64" s="230"/>
      <c r="HEI64" s="231"/>
      <c r="HEJ64" s="232"/>
      <c r="HEK64" s="233"/>
      <c r="HEL64" s="233"/>
      <c r="HEM64" s="233"/>
      <c r="HEN64" s="233"/>
      <c r="HEO64" s="233"/>
      <c r="HEP64" s="233"/>
      <c r="HEQ64" s="231"/>
      <c r="HER64" s="231"/>
      <c r="HES64" s="229"/>
      <c r="HET64" s="230"/>
      <c r="HEU64" s="231"/>
      <c r="HEV64" s="232"/>
      <c r="HEW64" s="233"/>
      <c r="HEX64" s="233"/>
      <c r="HEY64" s="233"/>
      <c r="HEZ64" s="233"/>
      <c r="HFA64" s="233"/>
      <c r="HFB64" s="233"/>
      <c r="HFC64" s="231"/>
      <c r="HFD64" s="231"/>
      <c r="HFE64" s="229"/>
      <c r="HFF64" s="230"/>
      <c r="HFG64" s="231"/>
      <c r="HFH64" s="232"/>
      <c r="HFI64" s="233"/>
      <c r="HFJ64" s="233"/>
      <c r="HFK64" s="233"/>
      <c r="HFL64" s="233"/>
      <c r="HFM64" s="233"/>
      <c r="HFN64" s="233"/>
      <c r="HFO64" s="231"/>
      <c r="HFP64" s="231"/>
      <c r="HFQ64" s="229"/>
      <c r="HFR64" s="230"/>
      <c r="HFS64" s="231"/>
      <c r="HFT64" s="232"/>
      <c r="HFU64" s="233"/>
      <c r="HFV64" s="233"/>
      <c r="HFW64" s="233"/>
      <c r="HFX64" s="233"/>
      <c r="HFY64" s="233"/>
      <c r="HFZ64" s="233"/>
      <c r="HGA64" s="231"/>
      <c r="HGB64" s="231"/>
      <c r="HGC64" s="229"/>
      <c r="HGD64" s="230"/>
      <c r="HGE64" s="231"/>
      <c r="HGF64" s="232"/>
      <c r="HGG64" s="233"/>
      <c r="HGH64" s="233"/>
      <c r="HGI64" s="233"/>
      <c r="HGJ64" s="233"/>
      <c r="HGK64" s="233"/>
      <c r="HGL64" s="233"/>
      <c r="HGM64" s="231"/>
      <c r="HGN64" s="231"/>
      <c r="HGO64" s="229"/>
      <c r="HGP64" s="230"/>
      <c r="HGQ64" s="231"/>
      <c r="HGR64" s="232"/>
      <c r="HGS64" s="233"/>
      <c r="HGT64" s="233"/>
      <c r="HGU64" s="233"/>
      <c r="HGV64" s="233"/>
      <c r="HGW64" s="233"/>
      <c r="HGX64" s="233"/>
      <c r="HGY64" s="231"/>
      <c r="HGZ64" s="231"/>
      <c r="HHA64" s="229"/>
      <c r="HHB64" s="230"/>
      <c r="HHC64" s="231"/>
      <c r="HHD64" s="232"/>
      <c r="HHE64" s="233"/>
      <c r="HHF64" s="233"/>
      <c r="HHG64" s="233"/>
      <c r="HHH64" s="233"/>
      <c r="HHI64" s="233"/>
      <c r="HHJ64" s="233"/>
      <c r="HHK64" s="231"/>
      <c r="HHL64" s="231"/>
      <c r="HHM64" s="229"/>
      <c r="HHN64" s="230"/>
      <c r="HHO64" s="231"/>
      <c r="HHP64" s="232"/>
      <c r="HHQ64" s="233"/>
      <c r="HHR64" s="233"/>
      <c r="HHS64" s="233"/>
      <c r="HHT64" s="233"/>
      <c r="HHU64" s="233"/>
      <c r="HHV64" s="233"/>
      <c r="HHW64" s="231"/>
      <c r="HHX64" s="231"/>
      <c r="HHY64" s="229"/>
      <c r="HHZ64" s="230"/>
      <c r="HIA64" s="231"/>
      <c r="HIB64" s="232"/>
      <c r="HIC64" s="233"/>
      <c r="HID64" s="233"/>
      <c r="HIE64" s="233"/>
      <c r="HIF64" s="233"/>
      <c r="HIG64" s="233"/>
      <c r="HIH64" s="233"/>
      <c r="HII64" s="231"/>
      <c r="HIJ64" s="231"/>
      <c r="HIK64" s="229"/>
      <c r="HIL64" s="230"/>
      <c r="HIM64" s="231"/>
      <c r="HIN64" s="232"/>
      <c r="HIO64" s="233"/>
      <c r="HIP64" s="233"/>
      <c r="HIQ64" s="233"/>
      <c r="HIR64" s="233"/>
      <c r="HIS64" s="233"/>
      <c r="HIT64" s="233"/>
      <c r="HIU64" s="231"/>
      <c r="HIV64" s="231"/>
      <c r="HIW64" s="229"/>
      <c r="HIX64" s="230"/>
      <c r="HIY64" s="231"/>
      <c r="HIZ64" s="232"/>
      <c r="HJA64" s="233"/>
      <c r="HJB64" s="233"/>
      <c r="HJC64" s="233"/>
      <c r="HJD64" s="233"/>
      <c r="HJE64" s="233"/>
      <c r="HJF64" s="233"/>
      <c r="HJG64" s="231"/>
      <c r="HJH64" s="231"/>
      <c r="HJI64" s="229"/>
      <c r="HJJ64" s="230"/>
      <c r="HJK64" s="231"/>
      <c r="HJL64" s="232"/>
      <c r="HJM64" s="233"/>
      <c r="HJN64" s="233"/>
      <c r="HJO64" s="233"/>
      <c r="HJP64" s="233"/>
      <c r="HJQ64" s="233"/>
      <c r="HJR64" s="233"/>
      <c r="HJS64" s="231"/>
      <c r="HJT64" s="231"/>
      <c r="HJU64" s="229"/>
      <c r="HJV64" s="230"/>
      <c r="HJW64" s="231"/>
      <c r="HJX64" s="232"/>
      <c r="HJY64" s="233"/>
      <c r="HJZ64" s="233"/>
      <c r="HKA64" s="233"/>
      <c r="HKB64" s="233"/>
      <c r="HKC64" s="233"/>
      <c r="HKD64" s="233"/>
      <c r="HKE64" s="231"/>
      <c r="HKF64" s="231"/>
      <c r="HKG64" s="229"/>
      <c r="HKH64" s="230"/>
      <c r="HKI64" s="231"/>
      <c r="HKJ64" s="232"/>
      <c r="HKK64" s="233"/>
      <c r="HKL64" s="233"/>
      <c r="HKM64" s="233"/>
      <c r="HKN64" s="233"/>
      <c r="HKO64" s="233"/>
      <c r="HKP64" s="233"/>
      <c r="HKQ64" s="231"/>
      <c r="HKR64" s="231"/>
      <c r="HKS64" s="229"/>
      <c r="HKT64" s="230"/>
      <c r="HKU64" s="231"/>
      <c r="HKV64" s="232"/>
      <c r="HKW64" s="233"/>
      <c r="HKX64" s="233"/>
      <c r="HKY64" s="233"/>
      <c r="HKZ64" s="233"/>
      <c r="HLA64" s="233"/>
      <c r="HLB64" s="233"/>
      <c r="HLC64" s="231"/>
      <c r="HLD64" s="231"/>
      <c r="HLE64" s="229"/>
      <c r="HLF64" s="230"/>
      <c r="HLG64" s="231"/>
      <c r="HLH64" s="232"/>
      <c r="HLI64" s="233"/>
      <c r="HLJ64" s="233"/>
      <c r="HLK64" s="233"/>
      <c r="HLL64" s="233"/>
      <c r="HLM64" s="233"/>
      <c r="HLN64" s="233"/>
      <c r="HLO64" s="231"/>
      <c r="HLP64" s="231"/>
      <c r="HLQ64" s="229"/>
      <c r="HLR64" s="230"/>
      <c r="HLS64" s="231"/>
      <c r="HLT64" s="232"/>
      <c r="HLU64" s="233"/>
      <c r="HLV64" s="233"/>
      <c r="HLW64" s="233"/>
      <c r="HLX64" s="233"/>
      <c r="HLY64" s="233"/>
      <c r="HLZ64" s="233"/>
      <c r="HMA64" s="231"/>
      <c r="HMB64" s="231"/>
      <c r="HMC64" s="229"/>
      <c r="HMD64" s="230"/>
      <c r="HME64" s="231"/>
      <c r="HMF64" s="232"/>
      <c r="HMG64" s="233"/>
      <c r="HMH64" s="233"/>
      <c r="HMI64" s="233"/>
      <c r="HMJ64" s="233"/>
      <c r="HMK64" s="233"/>
      <c r="HML64" s="233"/>
      <c r="HMM64" s="231"/>
      <c r="HMN64" s="231"/>
      <c r="HMO64" s="229"/>
      <c r="HMP64" s="230"/>
      <c r="HMQ64" s="231"/>
      <c r="HMR64" s="232"/>
      <c r="HMS64" s="233"/>
      <c r="HMT64" s="233"/>
      <c r="HMU64" s="233"/>
      <c r="HMV64" s="233"/>
      <c r="HMW64" s="233"/>
      <c r="HMX64" s="233"/>
      <c r="HMY64" s="231"/>
      <c r="HMZ64" s="231"/>
      <c r="HNA64" s="229"/>
      <c r="HNB64" s="230"/>
      <c r="HNC64" s="231"/>
      <c r="HND64" s="232"/>
      <c r="HNE64" s="233"/>
      <c r="HNF64" s="233"/>
      <c r="HNG64" s="233"/>
      <c r="HNH64" s="233"/>
      <c r="HNI64" s="233"/>
      <c r="HNJ64" s="233"/>
      <c r="HNK64" s="231"/>
      <c r="HNL64" s="231"/>
      <c r="HNM64" s="229"/>
      <c r="HNN64" s="230"/>
      <c r="HNO64" s="231"/>
      <c r="HNP64" s="232"/>
      <c r="HNQ64" s="233"/>
      <c r="HNR64" s="233"/>
      <c r="HNS64" s="233"/>
      <c r="HNT64" s="233"/>
      <c r="HNU64" s="233"/>
      <c r="HNV64" s="233"/>
      <c r="HNW64" s="231"/>
      <c r="HNX64" s="231"/>
      <c r="HNY64" s="229"/>
      <c r="HNZ64" s="230"/>
      <c r="HOA64" s="231"/>
      <c r="HOB64" s="232"/>
      <c r="HOC64" s="233"/>
      <c r="HOD64" s="233"/>
      <c r="HOE64" s="233"/>
      <c r="HOF64" s="233"/>
      <c r="HOG64" s="233"/>
      <c r="HOH64" s="233"/>
      <c r="HOI64" s="231"/>
      <c r="HOJ64" s="231"/>
      <c r="HOK64" s="229"/>
      <c r="HOL64" s="230"/>
      <c r="HOM64" s="231"/>
      <c r="HON64" s="232"/>
      <c r="HOO64" s="233"/>
      <c r="HOP64" s="233"/>
      <c r="HOQ64" s="233"/>
      <c r="HOR64" s="233"/>
      <c r="HOS64" s="233"/>
      <c r="HOT64" s="233"/>
      <c r="HOU64" s="231"/>
      <c r="HOV64" s="231"/>
      <c r="HOW64" s="229"/>
      <c r="HOX64" s="230"/>
      <c r="HOY64" s="231"/>
      <c r="HOZ64" s="232"/>
      <c r="HPA64" s="233"/>
      <c r="HPB64" s="233"/>
      <c r="HPC64" s="233"/>
      <c r="HPD64" s="233"/>
      <c r="HPE64" s="233"/>
      <c r="HPF64" s="233"/>
      <c r="HPG64" s="231"/>
      <c r="HPH64" s="231"/>
      <c r="HPI64" s="229"/>
      <c r="HPJ64" s="230"/>
      <c r="HPK64" s="231"/>
      <c r="HPL64" s="232"/>
      <c r="HPM64" s="233"/>
      <c r="HPN64" s="233"/>
      <c r="HPO64" s="233"/>
      <c r="HPP64" s="233"/>
      <c r="HPQ64" s="233"/>
      <c r="HPR64" s="233"/>
      <c r="HPS64" s="231"/>
      <c r="HPT64" s="231"/>
      <c r="HPU64" s="229"/>
      <c r="HPV64" s="230"/>
      <c r="HPW64" s="231"/>
      <c r="HPX64" s="232"/>
      <c r="HPY64" s="233"/>
      <c r="HPZ64" s="233"/>
      <c r="HQA64" s="233"/>
      <c r="HQB64" s="233"/>
      <c r="HQC64" s="233"/>
      <c r="HQD64" s="233"/>
      <c r="HQE64" s="231"/>
      <c r="HQF64" s="231"/>
      <c r="HQG64" s="229"/>
      <c r="HQH64" s="230"/>
      <c r="HQI64" s="231"/>
      <c r="HQJ64" s="232"/>
      <c r="HQK64" s="233"/>
      <c r="HQL64" s="233"/>
      <c r="HQM64" s="233"/>
      <c r="HQN64" s="233"/>
      <c r="HQO64" s="233"/>
      <c r="HQP64" s="233"/>
      <c r="HQQ64" s="231"/>
      <c r="HQR64" s="231"/>
      <c r="HQS64" s="229"/>
      <c r="HQT64" s="230"/>
      <c r="HQU64" s="231"/>
      <c r="HQV64" s="232"/>
      <c r="HQW64" s="233"/>
      <c r="HQX64" s="233"/>
      <c r="HQY64" s="233"/>
      <c r="HQZ64" s="233"/>
      <c r="HRA64" s="233"/>
      <c r="HRB64" s="233"/>
      <c r="HRC64" s="231"/>
      <c r="HRD64" s="231"/>
      <c r="HRE64" s="229"/>
      <c r="HRF64" s="230"/>
      <c r="HRG64" s="231"/>
      <c r="HRH64" s="232"/>
      <c r="HRI64" s="233"/>
      <c r="HRJ64" s="233"/>
      <c r="HRK64" s="233"/>
      <c r="HRL64" s="233"/>
      <c r="HRM64" s="233"/>
      <c r="HRN64" s="233"/>
      <c r="HRO64" s="231"/>
      <c r="HRP64" s="231"/>
      <c r="HRQ64" s="229"/>
      <c r="HRR64" s="230"/>
      <c r="HRS64" s="231"/>
      <c r="HRT64" s="232"/>
      <c r="HRU64" s="233"/>
      <c r="HRV64" s="233"/>
      <c r="HRW64" s="233"/>
      <c r="HRX64" s="233"/>
      <c r="HRY64" s="233"/>
      <c r="HRZ64" s="233"/>
      <c r="HSA64" s="231"/>
      <c r="HSB64" s="231"/>
      <c r="HSC64" s="229"/>
      <c r="HSD64" s="230"/>
      <c r="HSE64" s="231"/>
      <c r="HSF64" s="232"/>
      <c r="HSG64" s="233"/>
      <c r="HSH64" s="233"/>
      <c r="HSI64" s="233"/>
      <c r="HSJ64" s="233"/>
      <c r="HSK64" s="233"/>
      <c r="HSL64" s="233"/>
      <c r="HSM64" s="231"/>
      <c r="HSN64" s="231"/>
      <c r="HSO64" s="229"/>
      <c r="HSP64" s="230"/>
      <c r="HSQ64" s="231"/>
      <c r="HSR64" s="232"/>
      <c r="HSS64" s="233"/>
      <c r="HST64" s="233"/>
      <c r="HSU64" s="233"/>
      <c r="HSV64" s="233"/>
      <c r="HSW64" s="233"/>
      <c r="HSX64" s="233"/>
      <c r="HSY64" s="231"/>
      <c r="HSZ64" s="231"/>
      <c r="HTA64" s="229"/>
      <c r="HTB64" s="230"/>
      <c r="HTC64" s="231"/>
      <c r="HTD64" s="232"/>
      <c r="HTE64" s="233"/>
      <c r="HTF64" s="233"/>
      <c r="HTG64" s="233"/>
      <c r="HTH64" s="233"/>
      <c r="HTI64" s="233"/>
      <c r="HTJ64" s="233"/>
      <c r="HTK64" s="231"/>
      <c r="HTL64" s="231"/>
      <c r="HTM64" s="229"/>
      <c r="HTN64" s="230"/>
      <c r="HTO64" s="231"/>
      <c r="HTP64" s="232"/>
      <c r="HTQ64" s="233"/>
      <c r="HTR64" s="233"/>
      <c r="HTS64" s="233"/>
      <c r="HTT64" s="233"/>
      <c r="HTU64" s="233"/>
      <c r="HTV64" s="233"/>
      <c r="HTW64" s="231"/>
      <c r="HTX64" s="231"/>
      <c r="HTY64" s="229"/>
      <c r="HTZ64" s="230"/>
      <c r="HUA64" s="231"/>
      <c r="HUB64" s="232"/>
      <c r="HUC64" s="233"/>
      <c r="HUD64" s="233"/>
      <c r="HUE64" s="233"/>
      <c r="HUF64" s="233"/>
      <c r="HUG64" s="233"/>
      <c r="HUH64" s="233"/>
      <c r="HUI64" s="231"/>
      <c r="HUJ64" s="231"/>
      <c r="HUK64" s="229"/>
      <c r="HUL64" s="230"/>
      <c r="HUM64" s="231"/>
      <c r="HUN64" s="232"/>
      <c r="HUO64" s="233"/>
      <c r="HUP64" s="233"/>
      <c r="HUQ64" s="233"/>
      <c r="HUR64" s="233"/>
      <c r="HUS64" s="233"/>
      <c r="HUT64" s="233"/>
      <c r="HUU64" s="231"/>
      <c r="HUV64" s="231"/>
      <c r="HUW64" s="229"/>
      <c r="HUX64" s="230"/>
      <c r="HUY64" s="231"/>
      <c r="HUZ64" s="232"/>
      <c r="HVA64" s="233"/>
      <c r="HVB64" s="233"/>
      <c r="HVC64" s="233"/>
      <c r="HVD64" s="233"/>
      <c r="HVE64" s="233"/>
      <c r="HVF64" s="233"/>
      <c r="HVG64" s="231"/>
      <c r="HVH64" s="231"/>
      <c r="HVI64" s="229"/>
      <c r="HVJ64" s="230"/>
      <c r="HVK64" s="231"/>
      <c r="HVL64" s="232"/>
      <c r="HVM64" s="233"/>
      <c r="HVN64" s="233"/>
      <c r="HVO64" s="233"/>
      <c r="HVP64" s="233"/>
      <c r="HVQ64" s="233"/>
      <c r="HVR64" s="233"/>
      <c r="HVS64" s="231"/>
      <c r="HVT64" s="231"/>
      <c r="HVU64" s="229"/>
      <c r="HVV64" s="230"/>
      <c r="HVW64" s="231"/>
      <c r="HVX64" s="232"/>
      <c r="HVY64" s="233"/>
      <c r="HVZ64" s="233"/>
      <c r="HWA64" s="233"/>
      <c r="HWB64" s="233"/>
      <c r="HWC64" s="233"/>
      <c r="HWD64" s="233"/>
      <c r="HWE64" s="231"/>
      <c r="HWF64" s="231"/>
      <c r="HWG64" s="229"/>
      <c r="HWH64" s="230"/>
      <c r="HWI64" s="231"/>
      <c r="HWJ64" s="232"/>
      <c r="HWK64" s="233"/>
      <c r="HWL64" s="233"/>
      <c r="HWM64" s="233"/>
      <c r="HWN64" s="233"/>
      <c r="HWO64" s="233"/>
      <c r="HWP64" s="233"/>
      <c r="HWQ64" s="231"/>
      <c r="HWR64" s="231"/>
      <c r="HWS64" s="229"/>
      <c r="HWT64" s="230"/>
      <c r="HWU64" s="231"/>
      <c r="HWV64" s="232"/>
      <c r="HWW64" s="233"/>
      <c r="HWX64" s="233"/>
      <c r="HWY64" s="233"/>
      <c r="HWZ64" s="233"/>
      <c r="HXA64" s="233"/>
      <c r="HXB64" s="233"/>
      <c r="HXC64" s="231"/>
      <c r="HXD64" s="231"/>
      <c r="HXE64" s="229"/>
      <c r="HXF64" s="230"/>
      <c r="HXG64" s="231"/>
      <c r="HXH64" s="232"/>
      <c r="HXI64" s="233"/>
      <c r="HXJ64" s="233"/>
      <c r="HXK64" s="233"/>
      <c r="HXL64" s="233"/>
      <c r="HXM64" s="233"/>
      <c r="HXN64" s="233"/>
      <c r="HXO64" s="231"/>
      <c r="HXP64" s="231"/>
      <c r="HXQ64" s="229"/>
      <c r="HXR64" s="230"/>
      <c r="HXS64" s="231"/>
      <c r="HXT64" s="232"/>
      <c r="HXU64" s="233"/>
      <c r="HXV64" s="233"/>
      <c r="HXW64" s="233"/>
      <c r="HXX64" s="233"/>
      <c r="HXY64" s="233"/>
      <c r="HXZ64" s="233"/>
      <c r="HYA64" s="231"/>
      <c r="HYB64" s="231"/>
      <c r="HYC64" s="229"/>
      <c r="HYD64" s="230"/>
      <c r="HYE64" s="231"/>
      <c r="HYF64" s="232"/>
      <c r="HYG64" s="233"/>
      <c r="HYH64" s="233"/>
      <c r="HYI64" s="233"/>
      <c r="HYJ64" s="233"/>
      <c r="HYK64" s="233"/>
      <c r="HYL64" s="233"/>
      <c r="HYM64" s="231"/>
      <c r="HYN64" s="231"/>
      <c r="HYO64" s="229"/>
      <c r="HYP64" s="230"/>
      <c r="HYQ64" s="231"/>
      <c r="HYR64" s="232"/>
      <c r="HYS64" s="233"/>
      <c r="HYT64" s="233"/>
      <c r="HYU64" s="233"/>
      <c r="HYV64" s="233"/>
      <c r="HYW64" s="233"/>
      <c r="HYX64" s="233"/>
      <c r="HYY64" s="231"/>
      <c r="HYZ64" s="231"/>
      <c r="HZA64" s="229"/>
      <c r="HZB64" s="230"/>
      <c r="HZC64" s="231"/>
      <c r="HZD64" s="232"/>
      <c r="HZE64" s="233"/>
      <c r="HZF64" s="233"/>
      <c r="HZG64" s="233"/>
      <c r="HZH64" s="233"/>
      <c r="HZI64" s="233"/>
      <c r="HZJ64" s="233"/>
      <c r="HZK64" s="231"/>
      <c r="HZL64" s="231"/>
      <c r="HZM64" s="229"/>
      <c r="HZN64" s="230"/>
      <c r="HZO64" s="231"/>
      <c r="HZP64" s="232"/>
      <c r="HZQ64" s="233"/>
      <c r="HZR64" s="233"/>
      <c r="HZS64" s="233"/>
      <c r="HZT64" s="233"/>
      <c r="HZU64" s="233"/>
      <c r="HZV64" s="233"/>
      <c r="HZW64" s="231"/>
      <c r="HZX64" s="231"/>
      <c r="HZY64" s="229"/>
      <c r="HZZ64" s="230"/>
      <c r="IAA64" s="231"/>
      <c r="IAB64" s="232"/>
      <c r="IAC64" s="233"/>
      <c r="IAD64" s="233"/>
      <c r="IAE64" s="233"/>
      <c r="IAF64" s="233"/>
      <c r="IAG64" s="233"/>
      <c r="IAH64" s="233"/>
      <c r="IAI64" s="231"/>
      <c r="IAJ64" s="231"/>
      <c r="IAK64" s="229"/>
      <c r="IAL64" s="230"/>
      <c r="IAM64" s="231"/>
      <c r="IAN64" s="232"/>
      <c r="IAO64" s="233"/>
      <c r="IAP64" s="233"/>
      <c r="IAQ64" s="233"/>
      <c r="IAR64" s="233"/>
      <c r="IAS64" s="233"/>
      <c r="IAT64" s="233"/>
      <c r="IAU64" s="231"/>
      <c r="IAV64" s="231"/>
      <c r="IAW64" s="229"/>
      <c r="IAX64" s="230"/>
      <c r="IAY64" s="231"/>
      <c r="IAZ64" s="232"/>
      <c r="IBA64" s="233"/>
      <c r="IBB64" s="233"/>
      <c r="IBC64" s="233"/>
      <c r="IBD64" s="233"/>
      <c r="IBE64" s="233"/>
      <c r="IBF64" s="233"/>
      <c r="IBG64" s="231"/>
      <c r="IBH64" s="231"/>
      <c r="IBI64" s="229"/>
      <c r="IBJ64" s="230"/>
      <c r="IBK64" s="231"/>
      <c r="IBL64" s="232"/>
      <c r="IBM64" s="233"/>
      <c r="IBN64" s="233"/>
      <c r="IBO64" s="233"/>
      <c r="IBP64" s="233"/>
      <c r="IBQ64" s="233"/>
      <c r="IBR64" s="233"/>
      <c r="IBS64" s="231"/>
      <c r="IBT64" s="231"/>
      <c r="IBU64" s="229"/>
      <c r="IBV64" s="230"/>
      <c r="IBW64" s="231"/>
      <c r="IBX64" s="232"/>
      <c r="IBY64" s="233"/>
      <c r="IBZ64" s="233"/>
      <c r="ICA64" s="233"/>
      <c r="ICB64" s="233"/>
      <c r="ICC64" s="233"/>
      <c r="ICD64" s="233"/>
      <c r="ICE64" s="231"/>
      <c r="ICF64" s="231"/>
      <c r="ICG64" s="229"/>
      <c r="ICH64" s="230"/>
      <c r="ICI64" s="231"/>
      <c r="ICJ64" s="232"/>
      <c r="ICK64" s="233"/>
      <c r="ICL64" s="233"/>
      <c r="ICM64" s="233"/>
      <c r="ICN64" s="233"/>
      <c r="ICO64" s="233"/>
      <c r="ICP64" s="233"/>
      <c r="ICQ64" s="231"/>
      <c r="ICR64" s="231"/>
      <c r="ICS64" s="229"/>
      <c r="ICT64" s="230"/>
      <c r="ICU64" s="231"/>
      <c r="ICV64" s="232"/>
      <c r="ICW64" s="233"/>
      <c r="ICX64" s="233"/>
      <c r="ICY64" s="233"/>
      <c r="ICZ64" s="233"/>
      <c r="IDA64" s="233"/>
      <c r="IDB64" s="233"/>
      <c r="IDC64" s="231"/>
      <c r="IDD64" s="231"/>
      <c r="IDE64" s="229"/>
      <c r="IDF64" s="230"/>
      <c r="IDG64" s="231"/>
      <c r="IDH64" s="232"/>
      <c r="IDI64" s="233"/>
      <c r="IDJ64" s="233"/>
      <c r="IDK64" s="233"/>
      <c r="IDL64" s="233"/>
      <c r="IDM64" s="233"/>
      <c r="IDN64" s="233"/>
      <c r="IDO64" s="231"/>
      <c r="IDP64" s="231"/>
      <c r="IDQ64" s="229"/>
      <c r="IDR64" s="230"/>
      <c r="IDS64" s="231"/>
      <c r="IDT64" s="232"/>
      <c r="IDU64" s="233"/>
      <c r="IDV64" s="233"/>
      <c r="IDW64" s="233"/>
      <c r="IDX64" s="233"/>
      <c r="IDY64" s="233"/>
      <c r="IDZ64" s="233"/>
      <c r="IEA64" s="231"/>
      <c r="IEB64" s="231"/>
      <c r="IEC64" s="229"/>
      <c r="IED64" s="230"/>
      <c r="IEE64" s="231"/>
      <c r="IEF64" s="232"/>
      <c r="IEG64" s="233"/>
      <c r="IEH64" s="233"/>
      <c r="IEI64" s="233"/>
      <c r="IEJ64" s="233"/>
      <c r="IEK64" s="233"/>
      <c r="IEL64" s="233"/>
      <c r="IEM64" s="231"/>
      <c r="IEN64" s="231"/>
      <c r="IEO64" s="229"/>
      <c r="IEP64" s="230"/>
      <c r="IEQ64" s="231"/>
      <c r="IER64" s="232"/>
      <c r="IES64" s="233"/>
      <c r="IET64" s="233"/>
      <c r="IEU64" s="233"/>
      <c r="IEV64" s="233"/>
      <c r="IEW64" s="233"/>
      <c r="IEX64" s="233"/>
      <c r="IEY64" s="231"/>
      <c r="IEZ64" s="231"/>
      <c r="IFA64" s="229"/>
      <c r="IFB64" s="230"/>
      <c r="IFC64" s="231"/>
      <c r="IFD64" s="232"/>
      <c r="IFE64" s="233"/>
      <c r="IFF64" s="233"/>
      <c r="IFG64" s="233"/>
      <c r="IFH64" s="233"/>
      <c r="IFI64" s="233"/>
      <c r="IFJ64" s="233"/>
      <c r="IFK64" s="231"/>
      <c r="IFL64" s="231"/>
      <c r="IFM64" s="229"/>
      <c r="IFN64" s="230"/>
      <c r="IFO64" s="231"/>
      <c r="IFP64" s="232"/>
      <c r="IFQ64" s="233"/>
      <c r="IFR64" s="233"/>
      <c r="IFS64" s="233"/>
      <c r="IFT64" s="233"/>
      <c r="IFU64" s="233"/>
      <c r="IFV64" s="233"/>
      <c r="IFW64" s="231"/>
      <c r="IFX64" s="231"/>
      <c r="IFY64" s="229"/>
      <c r="IFZ64" s="230"/>
      <c r="IGA64" s="231"/>
      <c r="IGB64" s="232"/>
      <c r="IGC64" s="233"/>
      <c r="IGD64" s="233"/>
      <c r="IGE64" s="233"/>
      <c r="IGF64" s="233"/>
      <c r="IGG64" s="233"/>
      <c r="IGH64" s="233"/>
      <c r="IGI64" s="231"/>
      <c r="IGJ64" s="231"/>
      <c r="IGK64" s="229"/>
      <c r="IGL64" s="230"/>
      <c r="IGM64" s="231"/>
      <c r="IGN64" s="232"/>
      <c r="IGO64" s="233"/>
      <c r="IGP64" s="233"/>
      <c r="IGQ64" s="233"/>
      <c r="IGR64" s="233"/>
      <c r="IGS64" s="233"/>
      <c r="IGT64" s="233"/>
      <c r="IGU64" s="231"/>
      <c r="IGV64" s="231"/>
      <c r="IGW64" s="229"/>
      <c r="IGX64" s="230"/>
      <c r="IGY64" s="231"/>
      <c r="IGZ64" s="232"/>
      <c r="IHA64" s="233"/>
      <c r="IHB64" s="233"/>
      <c r="IHC64" s="233"/>
      <c r="IHD64" s="233"/>
      <c r="IHE64" s="233"/>
      <c r="IHF64" s="233"/>
      <c r="IHG64" s="231"/>
      <c r="IHH64" s="231"/>
      <c r="IHI64" s="229"/>
      <c r="IHJ64" s="230"/>
      <c r="IHK64" s="231"/>
      <c r="IHL64" s="232"/>
      <c r="IHM64" s="233"/>
      <c r="IHN64" s="233"/>
      <c r="IHO64" s="233"/>
      <c r="IHP64" s="233"/>
      <c r="IHQ64" s="233"/>
      <c r="IHR64" s="233"/>
      <c r="IHS64" s="231"/>
      <c r="IHT64" s="231"/>
      <c r="IHU64" s="229"/>
      <c r="IHV64" s="230"/>
      <c r="IHW64" s="231"/>
      <c r="IHX64" s="232"/>
      <c r="IHY64" s="233"/>
      <c r="IHZ64" s="233"/>
      <c r="IIA64" s="233"/>
      <c r="IIB64" s="233"/>
      <c r="IIC64" s="233"/>
      <c r="IID64" s="233"/>
      <c r="IIE64" s="231"/>
      <c r="IIF64" s="231"/>
      <c r="IIG64" s="229"/>
      <c r="IIH64" s="230"/>
      <c r="III64" s="231"/>
      <c r="IIJ64" s="232"/>
      <c r="IIK64" s="233"/>
      <c r="IIL64" s="233"/>
      <c r="IIM64" s="233"/>
      <c r="IIN64" s="233"/>
      <c r="IIO64" s="233"/>
      <c r="IIP64" s="233"/>
      <c r="IIQ64" s="231"/>
      <c r="IIR64" s="231"/>
      <c r="IIS64" s="229"/>
      <c r="IIT64" s="230"/>
      <c r="IIU64" s="231"/>
      <c r="IIV64" s="232"/>
      <c r="IIW64" s="233"/>
      <c r="IIX64" s="233"/>
      <c r="IIY64" s="233"/>
      <c r="IIZ64" s="233"/>
      <c r="IJA64" s="233"/>
      <c r="IJB64" s="233"/>
      <c r="IJC64" s="231"/>
      <c r="IJD64" s="231"/>
      <c r="IJE64" s="229"/>
      <c r="IJF64" s="230"/>
      <c r="IJG64" s="231"/>
      <c r="IJH64" s="232"/>
      <c r="IJI64" s="233"/>
      <c r="IJJ64" s="233"/>
      <c r="IJK64" s="233"/>
      <c r="IJL64" s="233"/>
      <c r="IJM64" s="233"/>
      <c r="IJN64" s="233"/>
      <c r="IJO64" s="231"/>
      <c r="IJP64" s="231"/>
      <c r="IJQ64" s="229"/>
      <c r="IJR64" s="230"/>
      <c r="IJS64" s="231"/>
      <c r="IJT64" s="232"/>
      <c r="IJU64" s="233"/>
      <c r="IJV64" s="233"/>
      <c r="IJW64" s="233"/>
      <c r="IJX64" s="233"/>
      <c r="IJY64" s="233"/>
      <c r="IJZ64" s="233"/>
      <c r="IKA64" s="231"/>
      <c r="IKB64" s="231"/>
      <c r="IKC64" s="229"/>
      <c r="IKD64" s="230"/>
      <c r="IKE64" s="231"/>
      <c r="IKF64" s="232"/>
      <c r="IKG64" s="233"/>
      <c r="IKH64" s="233"/>
      <c r="IKI64" s="233"/>
      <c r="IKJ64" s="233"/>
      <c r="IKK64" s="233"/>
      <c r="IKL64" s="233"/>
      <c r="IKM64" s="231"/>
      <c r="IKN64" s="231"/>
      <c r="IKO64" s="229"/>
      <c r="IKP64" s="230"/>
      <c r="IKQ64" s="231"/>
      <c r="IKR64" s="232"/>
      <c r="IKS64" s="233"/>
      <c r="IKT64" s="233"/>
      <c r="IKU64" s="233"/>
      <c r="IKV64" s="233"/>
      <c r="IKW64" s="233"/>
      <c r="IKX64" s="233"/>
      <c r="IKY64" s="231"/>
      <c r="IKZ64" s="231"/>
      <c r="ILA64" s="229"/>
      <c r="ILB64" s="230"/>
      <c r="ILC64" s="231"/>
      <c r="ILD64" s="232"/>
      <c r="ILE64" s="233"/>
      <c r="ILF64" s="233"/>
      <c r="ILG64" s="233"/>
      <c r="ILH64" s="233"/>
      <c r="ILI64" s="233"/>
      <c r="ILJ64" s="233"/>
      <c r="ILK64" s="231"/>
      <c r="ILL64" s="231"/>
      <c r="ILM64" s="229"/>
      <c r="ILN64" s="230"/>
      <c r="ILO64" s="231"/>
      <c r="ILP64" s="232"/>
      <c r="ILQ64" s="233"/>
      <c r="ILR64" s="233"/>
      <c r="ILS64" s="233"/>
      <c r="ILT64" s="233"/>
      <c r="ILU64" s="233"/>
      <c r="ILV64" s="233"/>
      <c r="ILW64" s="231"/>
      <c r="ILX64" s="231"/>
      <c r="ILY64" s="229"/>
      <c r="ILZ64" s="230"/>
      <c r="IMA64" s="231"/>
      <c r="IMB64" s="232"/>
      <c r="IMC64" s="233"/>
      <c r="IMD64" s="233"/>
      <c r="IME64" s="233"/>
      <c r="IMF64" s="233"/>
      <c r="IMG64" s="233"/>
      <c r="IMH64" s="233"/>
      <c r="IMI64" s="231"/>
      <c r="IMJ64" s="231"/>
      <c r="IMK64" s="229"/>
      <c r="IML64" s="230"/>
      <c r="IMM64" s="231"/>
      <c r="IMN64" s="232"/>
      <c r="IMO64" s="233"/>
      <c r="IMP64" s="233"/>
      <c r="IMQ64" s="233"/>
      <c r="IMR64" s="233"/>
      <c r="IMS64" s="233"/>
      <c r="IMT64" s="233"/>
      <c r="IMU64" s="231"/>
      <c r="IMV64" s="231"/>
      <c r="IMW64" s="229"/>
      <c r="IMX64" s="230"/>
      <c r="IMY64" s="231"/>
      <c r="IMZ64" s="232"/>
      <c r="INA64" s="233"/>
      <c r="INB64" s="233"/>
      <c r="INC64" s="233"/>
      <c r="IND64" s="233"/>
      <c r="INE64" s="233"/>
      <c r="INF64" s="233"/>
      <c r="ING64" s="231"/>
      <c r="INH64" s="231"/>
      <c r="INI64" s="229"/>
      <c r="INJ64" s="230"/>
      <c r="INK64" s="231"/>
      <c r="INL64" s="232"/>
      <c r="INM64" s="233"/>
      <c r="INN64" s="233"/>
      <c r="INO64" s="233"/>
      <c r="INP64" s="233"/>
      <c r="INQ64" s="233"/>
      <c r="INR64" s="233"/>
      <c r="INS64" s="231"/>
      <c r="INT64" s="231"/>
      <c r="INU64" s="229"/>
      <c r="INV64" s="230"/>
      <c r="INW64" s="231"/>
      <c r="INX64" s="232"/>
      <c r="INY64" s="233"/>
      <c r="INZ64" s="233"/>
      <c r="IOA64" s="233"/>
      <c r="IOB64" s="233"/>
      <c r="IOC64" s="233"/>
      <c r="IOD64" s="233"/>
      <c r="IOE64" s="231"/>
      <c r="IOF64" s="231"/>
      <c r="IOG64" s="229"/>
      <c r="IOH64" s="230"/>
      <c r="IOI64" s="231"/>
      <c r="IOJ64" s="232"/>
      <c r="IOK64" s="233"/>
      <c r="IOL64" s="233"/>
      <c r="IOM64" s="233"/>
      <c r="ION64" s="233"/>
      <c r="IOO64" s="233"/>
      <c r="IOP64" s="233"/>
      <c r="IOQ64" s="231"/>
      <c r="IOR64" s="231"/>
      <c r="IOS64" s="229"/>
      <c r="IOT64" s="230"/>
      <c r="IOU64" s="231"/>
      <c r="IOV64" s="232"/>
      <c r="IOW64" s="233"/>
      <c r="IOX64" s="233"/>
      <c r="IOY64" s="233"/>
      <c r="IOZ64" s="233"/>
      <c r="IPA64" s="233"/>
      <c r="IPB64" s="233"/>
      <c r="IPC64" s="231"/>
      <c r="IPD64" s="231"/>
      <c r="IPE64" s="229"/>
      <c r="IPF64" s="230"/>
      <c r="IPG64" s="231"/>
      <c r="IPH64" s="232"/>
      <c r="IPI64" s="233"/>
      <c r="IPJ64" s="233"/>
      <c r="IPK64" s="233"/>
      <c r="IPL64" s="233"/>
      <c r="IPM64" s="233"/>
      <c r="IPN64" s="233"/>
      <c r="IPO64" s="231"/>
      <c r="IPP64" s="231"/>
      <c r="IPQ64" s="229"/>
      <c r="IPR64" s="230"/>
      <c r="IPS64" s="231"/>
      <c r="IPT64" s="232"/>
      <c r="IPU64" s="233"/>
      <c r="IPV64" s="233"/>
      <c r="IPW64" s="233"/>
      <c r="IPX64" s="233"/>
      <c r="IPY64" s="233"/>
      <c r="IPZ64" s="233"/>
      <c r="IQA64" s="231"/>
      <c r="IQB64" s="231"/>
      <c r="IQC64" s="229"/>
      <c r="IQD64" s="230"/>
      <c r="IQE64" s="231"/>
      <c r="IQF64" s="232"/>
      <c r="IQG64" s="233"/>
      <c r="IQH64" s="233"/>
      <c r="IQI64" s="233"/>
      <c r="IQJ64" s="233"/>
      <c r="IQK64" s="233"/>
      <c r="IQL64" s="233"/>
      <c r="IQM64" s="231"/>
      <c r="IQN64" s="231"/>
      <c r="IQO64" s="229"/>
      <c r="IQP64" s="230"/>
      <c r="IQQ64" s="231"/>
      <c r="IQR64" s="232"/>
      <c r="IQS64" s="233"/>
      <c r="IQT64" s="233"/>
      <c r="IQU64" s="233"/>
      <c r="IQV64" s="233"/>
      <c r="IQW64" s="233"/>
      <c r="IQX64" s="233"/>
      <c r="IQY64" s="231"/>
      <c r="IQZ64" s="231"/>
      <c r="IRA64" s="229"/>
      <c r="IRB64" s="230"/>
      <c r="IRC64" s="231"/>
      <c r="IRD64" s="232"/>
      <c r="IRE64" s="233"/>
      <c r="IRF64" s="233"/>
      <c r="IRG64" s="233"/>
      <c r="IRH64" s="233"/>
      <c r="IRI64" s="233"/>
      <c r="IRJ64" s="233"/>
      <c r="IRK64" s="231"/>
      <c r="IRL64" s="231"/>
      <c r="IRM64" s="229"/>
      <c r="IRN64" s="230"/>
      <c r="IRO64" s="231"/>
      <c r="IRP64" s="232"/>
      <c r="IRQ64" s="233"/>
      <c r="IRR64" s="233"/>
      <c r="IRS64" s="233"/>
      <c r="IRT64" s="233"/>
      <c r="IRU64" s="233"/>
      <c r="IRV64" s="233"/>
      <c r="IRW64" s="231"/>
      <c r="IRX64" s="231"/>
      <c r="IRY64" s="229"/>
      <c r="IRZ64" s="230"/>
      <c r="ISA64" s="231"/>
      <c r="ISB64" s="232"/>
      <c r="ISC64" s="233"/>
      <c r="ISD64" s="233"/>
      <c r="ISE64" s="233"/>
      <c r="ISF64" s="233"/>
      <c r="ISG64" s="233"/>
      <c r="ISH64" s="233"/>
      <c r="ISI64" s="231"/>
      <c r="ISJ64" s="231"/>
      <c r="ISK64" s="229"/>
      <c r="ISL64" s="230"/>
      <c r="ISM64" s="231"/>
      <c r="ISN64" s="232"/>
      <c r="ISO64" s="233"/>
      <c r="ISP64" s="233"/>
      <c r="ISQ64" s="233"/>
      <c r="ISR64" s="233"/>
      <c r="ISS64" s="233"/>
      <c r="IST64" s="233"/>
      <c r="ISU64" s="231"/>
      <c r="ISV64" s="231"/>
      <c r="ISW64" s="229"/>
      <c r="ISX64" s="230"/>
      <c r="ISY64" s="231"/>
      <c r="ISZ64" s="232"/>
      <c r="ITA64" s="233"/>
      <c r="ITB64" s="233"/>
      <c r="ITC64" s="233"/>
      <c r="ITD64" s="233"/>
      <c r="ITE64" s="233"/>
      <c r="ITF64" s="233"/>
      <c r="ITG64" s="231"/>
      <c r="ITH64" s="231"/>
      <c r="ITI64" s="229"/>
      <c r="ITJ64" s="230"/>
      <c r="ITK64" s="231"/>
      <c r="ITL64" s="232"/>
      <c r="ITM64" s="233"/>
      <c r="ITN64" s="233"/>
      <c r="ITO64" s="233"/>
      <c r="ITP64" s="233"/>
      <c r="ITQ64" s="233"/>
      <c r="ITR64" s="233"/>
      <c r="ITS64" s="231"/>
      <c r="ITT64" s="231"/>
      <c r="ITU64" s="229"/>
      <c r="ITV64" s="230"/>
      <c r="ITW64" s="231"/>
      <c r="ITX64" s="232"/>
      <c r="ITY64" s="233"/>
      <c r="ITZ64" s="233"/>
      <c r="IUA64" s="233"/>
      <c r="IUB64" s="233"/>
      <c r="IUC64" s="233"/>
      <c r="IUD64" s="233"/>
      <c r="IUE64" s="231"/>
      <c r="IUF64" s="231"/>
      <c r="IUG64" s="229"/>
      <c r="IUH64" s="230"/>
      <c r="IUI64" s="231"/>
      <c r="IUJ64" s="232"/>
      <c r="IUK64" s="233"/>
      <c r="IUL64" s="233"/>
      <c r="IUM64" s="233"/>
      <c r="IUN64" s="233"/>
      <c r="IUO64" s="233"/>
      <c r="IUP64" s="233"/>
      <c r="IUQ64" s="231"/>
      <c r="IUR64" s="231"/>
      <c r="IUS64" s="229"/>
      <c r="IUT64" s="230"/>
      <c r="IUU64" s="231"/>
      <c r="IUV64" s="232"/>
      <c r="IUW64" s="233"/>
      <c r="IUX64" s="233"/>
      <c r="IUY64" s="233"/>
      <c r="IUZ64" s="233"/>
      <c r="IVA64" s="233"/>
      <c r="IVB64" s="233"/>
      <c r="IVC64" s="231"/>
      <c r="IVD64" s="231"/>
      <c r="IVE64" s="229"/>
      <c r="IVF64" s="230"/>
      <c r="IVG64" s="231"/>
      <c r="IVH64" s="232"/>
      <c r="IVI64" s="233"/>
      <c r="IVJ64" s="233"/>
      <c r="IVK64" s="233"/>
      <c r="IVL64" s="233"/>
      <c r="IVM64" s="233"/>
      <c r="IVN64" s="233"/>
      <c r="IVO64" s="231"/>
      <c r="IVP64" s="231"/>
      <c r="IVQ64" s="229"/>
      <c r="IVR64" s="230"/>
      <c r="IVS64" s="231"/>
      <c r="IVT64" s="232"/>
      <c r="IVU64" s="233"/>
      <c r="IVV64" s="233"/>
      <c r="IVW64" s="233"/>
      <c r="IVX64" s="233"/>
      <c r="IVY64" s="233"/>
      <c r="IVZ64" s="233"/>
      <c r="IWA64" s="231"/>
      <c r="IWB64" s="231"/>
      <c r="IWC64" s="229"/>
      <c r="IWD64" s="230"/>
      <c r="IWE64" s="231"/>
      <c r="IWF64" s="232"/>
      <c r="IWG64" s="233"/>
      <c r="IWH64" s="233"/>
      <c r="IWI64" s="233"/>
      <c r="IWJ64" s="233"/>
      <c r="IWK64" s="233"/>
      <c r="IWL64" s="233"/>
      <c r="IWM64" s="231"/>
      <c r="IWN64" s="231"/>
      <c r="IWO64" s="229"/>
      <c r="IWP64" s="230"/>
      <c r="IWQ64" s="231"/>
      <c r="IWR64" s="232"/>
      <c r="IWS64" s="233"/>
      <c r="IWT64" s="233"/>
      <c r="IWU64" s="233"/>
      <c r="IWV64" s="233"/>
      <c r="IWW64" s="233"/>
      <c r="IWX64" s="233"/>
      <c r="IWY64" s="231"/>
      <c r="IWZ64" s="231"/>
      <c r="IXA64" s="229"/>
      <c r="IXB64" s="230"/>
      <c r="IXC64" s="231"/>
      <c r="IXD64" s="232"/>
      <c r="IXE64" s="233"/>
      <c r="IXF64" s="233"/>
      <c r="IXG64" s="233"/>
      <c r="IXH64" s="233"/>
      <c r="IXI64" s="233"/>
      <c r="IXJ64" s="233"/>
      <c r="IXK64" s="231"/>
      <c r="IXL64" s="231"/>
      <c r="IXM64" s="229"/>
      <c r="IXN64" s="230"/>
      <c r="IXO64" s="231"/>
      <c r="IXP64" s="232"/>
      <c r="IXQ64" s="233"/>
      <c r="IXR64" s="233"/>
      <c r="IXS64" s="233"/>
      <c r="IXT64" s="233"/>
      <c r="IXU64" s="233"/>
      <c r="IXV64" s="233"/>
      <c r="IXW64" s="231"/>
      <c r="IXX64" s="231"/>
      <c r="IXY64" s="229"/>
      <c r="IXZ64" s="230"/>
      <c r="IYA64" s="231"/>
      <c r="IYB64" s="232"/>
      <c r="IYC64" s="233"/>
      <c r="IYD64" s="233"/>
      <c r="IYE64" s="233"/>
      <c r="IYF64" s="233"/>
      <c r="IYG64" s="233"/>
      <c r="IYH64" s="233"/>
      <c r="IYI64" s="231"/>
      <c r="IYJ64" s="231"/>
      <c r="IYK64" s="229"/>
      <c r="IYL64" s="230"/>
      <c r="IYM64" s="231"/>
      <c r="IYN64" s="232"/>
      <c r="IYO64" s="233"/>
      <c r="IYP64" s="233"/>
      <c r="IYQ64" s="233"/>
      <c r="IYR64" s="233"/>
      <c r="IYS64" s="233"/>
      <c r="IYT64" s="233"/>
      <c r="IYU64" s="231"/>
      <c r="IYV64" s="231"/>
      <c r="IYW64" s="229"/>
      <c r="IYX64" s="230"/>
      <c r="IYY64" s="231"/>
      <c r="IYZ64" s="232"/>
      <c r="IZA64" s="233"/>
      <c r="IZB64" s="233"/>
      <c r="IZC64" s="233"/>
      <c r="IZD64" s="233"/>
      <c r="IZE64" s="233"/>
      <c r="IZF64" s="233"/>
      <c r="IZG64" s="231"/>
      <c r="IZH64" s="231"/>
      <c r="IZI64" s="229"/>
      <c r="IZJ64" s="230"/>
      <c r="IZK64" s="231"/>
      <c r="IZL64" s="232"/>
      <c r="IZM64" s="233"/>
      <c r="IZN64" s="233"/>
      <c r="IZO64" s="233"/>
      <c r="IZP64" s="233"/>
      <c r="IZQ64" s="233"/>
      <c r="IZR64" s="233"/>
      <c r="IZS64" s="231"/>
      <c r="IZT64" s="231"/>
      <c r="IZU64" s="229"/>
      <c r="IZV64" s="230"/>
      <c r="IZW64" s="231"/>
      <c r="IZX64" s="232"/>
      <c r="IZY64" s="233"/>
      <c r="IZZ64" s="233"/>
      <c r="JAA64" s="233"/>
      <c r="JAB64" s="233"/>
      <c r="JAC64" s="233"/>
      <c r="JAD64" s="233"/>
      <c r="JAE64" s="231"/>
      <c r="JAF64" s="231"/>
      <c r="JAG64" s="229"/>
      <c r="JAH64" s="230"/>
      <c r="JAI64" s="231"/>
      <c r="JAJ64" s="232"/>
      <c r="JAK64" s="233"/>
      <c r="JAL64" s="233"/>
      <c r="JAM64" s="233"/>
      <c r="JAN64" s="233"/>
      <c r="JAO64" s="233"/>
      <c r="JAP64" s="233"/>
      <c r="JAQ64" s="231"/>
      <c r="JAR64" s="231"/>
      <c r="JAS64" s="229"/>
      <c r="JAT64" s="230"/>
      <c r="JAU64" s="231"/>
      <c r="JAV64" s="232"/>
      <c r="JAW64" s="233"/>
      <c r="JAX64" s="233"/>
      <c r="JAY64" s="233"/>
      <c r="JAZ64" s="233"/>
      <c r="JBA64" s="233"/>
      <c r="JBB64" s="233"/>
      <c r="JBC64" s="231"/>
      <c r="JBD64" s="231"/>
      <c r="JBE64" s="229"/>
      <c r="JBF64" s="230"/>
      <c r="JBG64" s="231"/>
      <c r="JBH64" s="232"/>
      <c r="JBI64" s="233"/>
      <c r="JBJ64" s="233"/>
      <c r="JBK64" s="233"/>
      <c r="JBL64" s="233"/>
      <c r="JBM64" s="233"/>
      <c r="JBN64" s="233"/>
      <c r="JBO64" s="231"/>
      <c r="JBP64" s="231"/>
      <c r="JBQ64" s="229"/>
      <c r="JBR64" s="230"/>
      <c r="JBS64" s="231"/>
      <c r="JBT64" s="232"/>
      <c r="JBU64" s="233"/>
      <c r="JBV64" s="233"/>
      <c r="JBW64" s="233"/>
      <c r="JBX64" s="233"/>
      <c r="JBY64" s="233"/>
      <c r="JBZ64" s="233"/>
      <c r="JCA64" s="231"/>
      <c r="JCB64" s="231"/>
      <c r="JCC64" s="229"/>
      <c r="JCD64" s="230"/>
      <c r="JCE64" s="231"/>
      <c r="JCF64" s="232"/>
      <c r="JCG64" s="233"/>
      <c r="JCH64" s="233"/>
      <c r="JCI64" s="233"/>
      <c r="JCJ64" s="233"/>
      <c r="JCK64" s="233"/>
      <c r="JCL64" s="233"/>
      <c r="JCM64" s="231"/>
      <c r="JCN64" s="231"/>
      <c r="JCO64" s="229"/>
      <c r="JCP64" s="230"/>
      <c r="JCQ64" s="231"/>
      <c r="JCR64" s="232"/>
      <c r="JCS64" s="233"/>
      <c r="JCT64" s="233"/>
      <c r="JCU64" s="233"/>
      <c r="JCV64" s="233"/>
      <c r="JCW64" s="233"/>
      <c r="JCX64" s="233"/>
      <c r="JCY64" s="231"/>
      <c r="JCZ64" s="231"/>
      <c r="JDA64" s="229"/>
      <c r="JDB64" s="230"/>
      <c r="JDC64" s="231"/>
      <c r="JDD64" s="232"/>
      <c r="JDE64" s="233"/>
      <c r="JDF64" s="233"/>
      <c r="JDG64" s="233"/>
      <c r="JDH64" s="233"/>
      <c r="JDI64" s="233"/>
      <c r="JDJ64" s="233"/>
      <c r="JDK64" s="231"/>
      <c r="JDL64" s="231"/>
      <c r="JDM64" s="229"/>
      <c r="JDN64" s="230"/>
      <c r="JDO64" s="231"/>
      <c r="JDP64" s="232"/>
      <c r="JDQ64" s="233"/>
      <c r="JDR64" s="233"/>
      <c r="JDS64" s="233"/>
      <c r="JDT64" s="233"/>
      <c r="JDU64" s="233"/>
      <c r="JDV64" s="233"/>
      <c r="JDW64" s="231"/>
      <c r="JDX64" s="231"/>
      <c r="JDY64" s="229"/>
      <c r="JDZ64" s="230"/>
      <c r="JEA64" s="231"/>
      <c r="JEB64" s="232"/>
      <c r="JEC64" s="233"/>
      <c r="JED64" s="233"/>
      <c r="JEE64" s="233"/>
      <c r="JEF64" s="233"/>
      <c r="JEG64" s="233"/>
      <c r="JEH64" s="233"/>
      <c r="JEI64" s="231"/>
      <c r="JEJ64" s="231"/>
      <c r="JEK64" s="229"/>
      <c r="JEL64" s="230"/>
      <c r="JEM64" s="231"/>
      <c r="JEN64" s="232"/>
      <c r="JEO64" s="233"/>
      <c r="JEP64" s="233"/>
      <c r="JEQ64" s="233"/>
      <c r="JER64" s="233"/>
      <c r="JES64" s="233"/>
      <c r="JET64" s="233"/>
      <c r="JEU64" s="231"/>
      <c r="JEV64" s="231"/>
      <c r="JEW64" s="229"/>
      <c r="JEX64" s="230"/>
      <c r="JEY64" s="231"/>
      <c r="JEZ64" s="232"/>
      <c r="JFA64" s="233"/>
      <c r="JFB64" s="233"/>
      <c r="JFC64" s="233"/>
      <c r="JFD64" s="233"/>
      <c r="JFE64" s="233"/>
      <c r="JFF64" s="233"/>
      <c r="JFG64" s="231"/>
      <c r="JFH64" s="231"/>
      <c r="JFI64" s="229"/>
      <c r="JFJ64" s="230"/>
      <c r="JFK64" s="231"/>
      <c r="JFL64" s="232"/>
      <c r="JFM64" s="233"/>
      <c r="JFN64" s="233"/>
      <c r="JFO64" s="233"/>
      <c r="JFP64" s="233"/>
      <c r="JFQ64" s="233"/>
      <c r="JFR64" s="233"/>
      <c r="JFS64" s="231"/>
      <c r="JFT64" s="231"/>
      <c r="JFU64" s="229"/>
      <c r="JFV64" s="230"/>
      <c r="JFW64" s="231"/>
      <c r="JFX64" s="232"/>
      <c r="JFY64" s="233"/>
      <c r="JFZ64" s="233"/>
      <c r="JGA64" s="233"/>
      <c r="JGB64" s="233"/>
      <c r="JGC64" s="233"/>
      <c r="JGD64" s="233"/>
      <c r="JGE64" s="231"/>
      <c r="JGF64" s="231"/>
      <c r="JGG64" s="229"/>
      <c r="JGH64" s="230"/>
      <c r="JGI64" s="231"/>
      <c r="JGJ64" s="232"/>
      <c r="JGK64" s="233"/>
      <c r="JGL64" s="233"/>
      <c r="JGM64" s="233"/>
      <c r="JGN64" s="233"/>
      <c r="JGO64" s="233"/>
      <c r="JGP64" s="233"/>
      <c r="JGQ64" s="231"/>
      <c r="JGR64" s="231"/>
      <c r="JGS64" s="229"/>
      <c r="JGT64" s="230"/>
      <c r="JGU64" s="231"/>
      <c r="JGV64" s="232"/>
      <c r="JGW64" s="233"/>
      <c r="JGX64" s="233"/>
      <c r="JGY64" s="233"/>
      <c r="JGZ64" s="233"/>
      <c r="JHA64" s="233"/>
      <c r="JHB64" s="233"/>
      <c r="JHC64" s="231"/>
      <c r="JHD64" s="231"/>
      <c r="JHE64" s="229"/>
      <c r="JHF64" s="230"/>
      <c r="JHG64" s="231"/>
      <c r="JHH64" s="232"/>
      <c r="JHI64" s="233"/>
      <c r="JHJ64" s="233"/>
      <c r="JHK64" s="233"/>
      <c r="JHL64" s="233"/>
      <c r="JHM64" s="233"/>
      <c r="JHN64" s="233"/>
      <c r="JHO64" s="231"/>
      <c r="JHP64" s="231"/>
      <c r="JHQ64" s="229"/>
      <c r="JHR64" s="230"/>
      <c r="JHS64" s="231"/>
      <c r="JHT64" s="232"/>
      <c r="JHU64" s="233"/>
      <c r="JHV64" s="233"/>
      <c r="JHW64" s="233"/>
      <c r="JHX64" s="233"/>
      <c r="JHY64" s="233"/>
      <c r="JHZ64" s="233"/>
      <c r="JIA64" s="231"/>
      <c r="JIB64" s="231"/>
      <c r="JIC64" s="229"/>
      <c r="JID64" s="230"/>
      <c r="JIE64" s="231"/>
      <c r="JIF64" s="232"/>
      <c r="JIG64" s="233"/>
      <c r="JIH64" s="233"/>
      <c r="JII64" s="233"/>
      <c r="JIJ64" s="233"/>
      <c r="JIK64" s="233"/>
      <c r="JIL64" s="233"/>
      <c r="JIM64" s="231"/>
      <c r="JIN64" s="231"/>
      <c r="JIO64" s="229"/>
      <c r="JIP64" s="230"/>
      <c r="JIQ64" s="231"/>
      <c r="JIR64" s="232"/>
      <c r="JIS64" s="233"/>
      <c r="JIT64" s="233"/>
      <c r="JIU64" s="233"/>
      <c r="JIV64" s="233"/>
      <c r="JIW64" s="233"/>
      <c r="JIX64" s="233"/>
      <c r="JIY64" s="231"/>
      <c r="JIZ64" s="231"/>
      <c r="JJA64" s="229"/>
      <c r="JJB64" s="230"/>
      <c r="JJC64" s="231"/>
      <c r="JJD64" s="232"/>
      <c r="JJE64" s="233"/>
      <c r="JJF64" s="233"/>
      <c r="JJG64" s="233"/>
      <c r="JJH64" s="233"/>
      <c r="JJI64" s="233"/>
      <c r="JJJ64" s="233"/>
      <c r="JJK64" s="231"/>
      <c r="JJL64" s="231"/>
      <c r="JJM64" s="229"/>
      <c r="JJN64" s="230"/>
      <c r="JJO64" s="231"/>
      <c r="JJP64" s="232"/>
      <c r="JJQ64" s="233"/>
      <c r="JJR64" s="233"/>
      <c r="JJS64" s="233"/>
      <c r="JJT64" s="233"/>
      <c r="JJU64" s="233"/>
      <c r="JJV64" s="233"/>
      <c r="JJW64" s="231"/>
      <c r="JJX64" s="231"/>
      <c r="JJY64" s="229"/>
      <c r="JJZ64" s="230"/>
      <c r="JKA64" s="231"/>
      <c r="JKB64" s="232"/>
      <c r="JKC64" s="233"/>
      <c r="JKD64" s="233"/>
      <c r="JKE64" s="233"/>
      <c r="JKF64" s="233"/>
      <c r="JKG64" s="233"/>
      <c r="JKH64" s="233"/>
      <c r="JKI64" s="231"/>
      <c r="JKJ64" s="231"/>
      <c r="JKK64" s="229"/>
      <c r="JKL64" s="230"/>
      <c r="JKM64" s="231"/>
      <c r="JKN64" s="232"/>
      <c r="JKO64" s="233"/>
      <c r="JKP64" s="233"/>
      <c r="JKQ64" s="233"/>
      <c r="JKR64" s="233"/>
      <c r="JKS64" s="233"/>
      <c r="JKT64" s="233"/>
      <c r="JKU64" s="231"/>
      <c r="JKV64" s="231"/>
      <c r="JKW64" s="229"/>
      <c r="JKX64" s="230"/>
      <c r="JKY64" s="231"/>
      <c r="JKZ64" s="232"/>
      <c r="JLA64" s="233"/>
      <c r="JLB64" s="233"/>
      <c r="JLC64" s="233"/>
      <c r="JLD64" s="233"/>
      <c r="JLE64" s="233"/>
      <c r="JLF64" s="233"/>
      <c r="JLG64" s="231"/>
      <c r="JLH64" s="231"/>
      <c r="JLI64" s="229"/>
      <c r="JLJ64" s="230"/>
      <c r="JLK64" s="231"/>
      <c r="JLL64" s="232"/>
      <c r="JLM64" s="233"/>
      <c r="JLN64" s="233"/>
      <c r="JLO64" s="233"/>
      <c r="JLP64" s="233"/>
      <c r="JLQ64" s="233"/>
      <c r="JLR64" s="233"/>
      <c r="JLS64" s="231"/>
      <c r="JLT64" s="231"/>
      <c r="JLU64" s="229"/>
      <c r="JLV64" s="230"/>
      <c r="JLW64" s="231"/>
      <c r="JLX64" s="232"/>
      <c r="JLY64" s="233"/>
      <c r="JLZ64" s="233"/>
      <c r="JMA64" s="233"/>
      <c r="JMB64" s="233"/>
      <c r="JMC64" s="233"/>
      <c r="JMD64" s="233"/>
      <c r="JME64" s="231"/>
      <c r="JMF64" s="231"/>
      <c r="JMG64" s="229"/>
      <c r="JMH64" s="230"/>
      <c r="JMI64" s="231"/>
      <c r="JMJ64" s="232"/>
      <c r="JMK64" s="233"/>
      <c r="JML64" s="233"/>
      <c r="JMM64" s="233"/>
      <c r="JMN64" s="233"/>
      <c r="JMO64" s="233"/>
      <c r="JMP64" s="233"/>
      <c r="JMQ64" s="231"/>
      <c r="JMR64" s="231"/>
      <c r="JMS64" s="229"/>
      <c r="JMT64" s="230"/>
      <c r="JMU64" s="231"/>
      <c r="JMV64" s="232"/>
      <c r="JMW64" s="233"/>
      <c r="JMX64" s="233"/>
      <c r="JMY64" s="233"/>
      <c r="JMZ64" s="233"/>
      <c r="JNA64" s="233"/>
      <c r="JNB64" s="233"/>
      <c r="JNC64" s="231"/>
      <c r="JND64" s="231"/>
      <c r="JNE64" s="229"/>
      <c r="JNF64" s="230"/>
      <c r="JNG64" s="231"/>
      <c r="JNH64" s="232"/>
      <c r="JNI64" s="233"/>
      <c r="JNJ64" s="233"/>
      <c r="JNK64" s="233"/>
      <c r="JNL64" s="233"/>
      <c r="JNM64" s="233"/>
      <c r="JNN64" s="233"/>
      <c r="JNO64" s="231"/>
      <c r="JNP64" s="231"/>
      <c r="JNQ64" s="229"/>
      <c r="JNR64" s="230"/>
      <c r="JNS64" s="231"/>
      <c r="JNT64" s="232"/>
      <c r="JNU64" s="233"/>
      <c r="JNV64" s="233"/>
      <c r="JNW64" s="233"/>
      <c r="JNX64" s="233"/>
      <c r="JNY64" s="233"/>
      <c r="JNZ64" s="233"/>
      <c r="JOA64" s="231"/>
      <c r="JOB64" s="231"/>
      <c r="JOC64" s="229"/>
      <c r="JOD64" s="230"/>
      <c r="JOE64" s="231"/>
      <c r="JOF64" s="232"/>
      <c r="JOG64" s="233"/>
      <c r="JOH64" s="233"/>
      <c r="JOI64" s="233"/>
      <c r="JOJ64" s="233"/>
      <c r="JOK64" s="233"/>
      <c r="JOL64" s="233"/>
      <c r="JOM64" s="231"/>
      <c r="JON64" s="231"/>
      <c r="JOO64" s="229"/>
      <c r="JOP64" s="230"/>
      <c r="JOQ64" s="231"/>
      <c r="JOR64" s="232"/>
      <c r="JOS64" s="233"/>
      <c r="JOT64" s="233"/>
      <c r="JOU64" s="233"/>
      <c r="JOV64" s="233"/>
      <c r="JOW64" s="233"/>
      <c r="JOX64" s="233"/>
      <c r="JOY64" s="231"/>
      <c r="JOZ64" s="231"/>
      <c r="JPA64" s="229"/>
      <c r="JPB64" s="230"/>
      <c r="JPC64" s="231"/>
      <c r="JPD64" s="232"/>
      <c r="JPE64" s="233"/>
      <c r="JPF64" s="233"/>
      <c r="JPG64" s="233"/>
      <c r="JPH64" s="233"/>
      <c r="JPI64" s="233"/>
      <c r="JPJ64" s="233"/>
      <c r="JPK64" s="231"/>
      <c r="JPL64" s="231"/>
      <c r="JPM64" s="229"/>
      <c r="JPN64" s="230"/>
      <c r="JPO64" s="231"/>
      <c r="JPP64" s="232"/>
      <c r="JPQ64" s="233"/>
      <c r="JPR64" s="233"/>
      <c r="JPS64" s="233"/>
      <c r="JPT64" s="233"/>
      <c r="JPU64" s="233"/>
      <c r="JPV64" s="233"/>
      <c r="JPW64" s="231"/>
      <c r="JPX64" s="231"/>
      <c r="JPY64" s="229"/>
      <c r="JPZ64" s="230"/>
      <c r="JQA64" s="231"/>
      <c r="JQB64" s="232"/>
      <c r="JQC64" s="233"/>
      <c r="JQD64" s="233"/>
      <c r="JQE64" s="233"/>
      <c r="JQF64" s="233"/>
      <c r="JQG64" s="233"/>
      <c r="JQH64" s="233"/>
      <c r="JQI64" s="231"/>
      <c r="JQJ64" s="231"/>
      <c r="JQK64" s="229"/>
      <c r="JQL64" s="230"/>
      <c r="JQM64" s="231"/>
      <c r="JQN64" s="232"/>
      <c r="JQO64" s="233"/>
      <c r="JQP64" s="233"/>
      <c r="JQQ64" s="233"/>
      <c r="JQR64" s="233"/>
      <c r="JQS64" s="233"/>
      <c r="JQT64" s="233"/>
      <c r="JQU64" s="231"/>
      <c r="JQV64" s="231"/>
      <c r="JQW64" s="229"/>
      <c r="JQX64" s="230"/>
      <c r="JQY64" s="231"/>
      <c r="JQZ64" s="232"/>
      <c r="JRA64" s="233"/>
      <c r="JRB64" s="233"/>
      <c r="JRC64" s="233"/>
      <c r="JRD64" s="233"/>
      <c r="JRE64" s="233"/>
      <c r="JRF64" s="233"/>
      <c r="JRG64" s="231"/>
      <c r="JRH64" s="231"/>
      <c r="JRI64" s="229"/>
      <c r="JRJ64" s="230"/>
      <c r="JRK64" s="231"/>
      <c r="JRL64" s="232"/>
      <c r="JRM64" s="233"/>
      <c r="JRN64" s="233"/>
      <c r="JRO64" s="233"/>
      <c r="JRP64" s="233"/>
      <c r="JRQ64" s="233"/>
      <c r="JRR64" s="233"/>
      <c r="JRS64" s="231"/>
      <c r="JRT64" s="231"/>
      <c r="JRU64" s="229"/>
      <c r="JRV64" s="230"/>
      <c r="JRW64" s="231"/>
      <c r="JRX64" s="232"/>
      <c r="JRY64" s="233"/>
      <c r="JRZ64" s="233"/>
      <c r="JSA64" s="233"/>
      <c r="JSB64" s="233"/>
      <c r="JSC64" s="233"/>
      <c r="JSD64" s="233"/>
      <c r="JSE64" s="231"/>
      <c r="JSF64" s="231"/>
      <c r="JSG64" s="229"/>
      <c r="JSH64" s="230"/>
      <c r="JSI64" s="231"/>
      <c r="JSJ64" s="232"/>
      <c r="JSK64" s="233"/>
      <c r="JSL64" s="233"/>
      <c r="JSM64" s="233"/>
      <c r="JSN64" s="233"/>
      <c r="JSO64" s="233"/>
      <c r="JSP64" s="233"/>
      <c r="JSQ64" s="231"/>
      <c r="JSR64" s="231"/>
      <c r="JSS64" s="229"/>
      <c r="JST64" s="230"/>
      <c r="JSU64" s="231"/>
      <c r="JSV64" s="232"/>
      <c r="JSW64" s="233"/>
      <c r="JSX64" s="233"/>
      <c r="JSY64" s="233"/>
      <c r="JSZ64" s="233"/>
      <c r="JTA64" s="233"/>
      <c r="JTB64" s="233"/>
      <c r="JTC64" s="231"/>
      <c r="JTD64" s="231"/>
      <c r="JTE64" s="229"/>
      <c r="JTF64" s="230"/>
      <c r="JTG64" s="231"/>
      <c r="JTH64" s="232"/>
      <c r="JTI64" s="233"/>
      <c r="JTJ64" s="233"/>
      <c r="JTK64" s="233"/>
      <c r="JTL64" s="233"/>
      <c r="JTM64" s="233"/>
      <c r="JTN64" s="233"/>
      <c r="JTO64" s="231"/>
      <c r="JTP64" s="231"/>
      <c r="JTQ64" s="229"/>
      <c r="JTR64" s="230"/>
      <c r="JTS64" s="231"/>
      <c r="JTT64" s="232"/>
      <c r="JTU64" s="233"/>
      <c r="JTV64" s="233"/>
      <c r="JTW64" s="233"/>
      <c r="JTX64" s="233"/>
      <c r="JTY64" s="233"/>
      <c r="JTZ64" s="233"/>
      <c r="JUA64" s="231"/>
      <c r="JUB64" s="231"/>
      <c r="JUC64" s="229"/>
      <c r="JUD64" s="230"/>
      <c r="JUE64" s="231"/>
      <c r="JUF64" s="232"/>
      <c r="JUG64" s="233"/>
      <c r="JUH64" s="233"/>
      <c r="JUI64" s="233"/>
      <c r="JUJ64" s="233"/>
      <c r="JUK64" s="233"/>
      <c r="JUL64" s="233"/>
      <c r="JUM64" s="231"/>
      <c r="JUN64" s="231"/>
      <c r="JUO64" s="229"/>
      <c r="JUP64" s="230"/>
      <c r="JUQ64" s="231"/>
      <c r="JUR64" s="232"/>
      <c r="JUS64" s="233"/>
      <c r="JUT64" s="233"/>
      <c r="JUU64" s="233"/>
      <c r="JUV64" s="233"/>
      <c r="JUW64" s="233"/>
      <c r="JUX64" s="233"/>
      <c r="JUY64" s="231"/>
      <c r="JUZ64" s="231"/>
      <c r="JVA64" s="229"/>
      <c r="JVB64" s="230"/>
      <c r="JVC64" s="231"/>
      <c r="JVD64" s="232"/>
      <c r="JVE64" s="233"/>
      <c r="JVF64" s="233"/>
      <c r="JVG64" s="233"/>
      <c r="JVH64" s="233"/>
      <c r="JVI64" s="233"/>
      <c r="JVJ64" s="233"/>
      <c r="JVK64" s="231"/>
      <c r="JVL64" s="231"/>
      <c r="JVM64" s="229"/>
      <c r="JVN64" s="230"/>
      <c r="JVO64" s="231"/>
      <c r="JVP64" s="232"/>
      <c r="JVQ64" s="233"/>
      <c r="JVR64" s="233"/>
      <c r="JVS64" s="233"/>
      <c r="JVT64" s="233"/>
      <c r="JVU64" s="233"/>
      <c r="JVV64" s="233"/>
      <c r="JVW64" s="231"/>
      <c r="JVX64" s="231"/>
      <c r="JVY64" s="229"/>
      <c r="JVZ64" s="230"/>
      <c r="JWA64" s="231"/>
      <c r="JWB64" s="232"/>
      <c r="JWC64" s="233"/>
      <c r="JWD64" s="233"/>
      <c r="JWE64" s="233"/>
      <c r="JWF64" s="233"/>
      <c r="JWG64" s="233"/>
      <c r="JWH64" s="233"/>
      <c r="JWI64" s="231"/>
      <c r="JWJ64" s="231"/>
      <c r="JWK64" s="229"/>
      <c r="JWL64" s="230"/>
      <c r="JWM64" s="231"/>
      <c r="JWN64" s="232"/>
      <c r="JWO64" s="233"/>
      <c r="JWP64" s="233"/>
      <c r="JWQ64" s="233"/>
      <c r="JWR64" s="233"/>
      <c r="JWS64" s="233"/>
      <c r="JWT64" s="233"/>
      <c r="JWU64" s="231"/>
      <c r="JWV64" s="231"/>
      <c r="JWW64" s="229"/>
      <c r="JWX64" s="230"/>
      <c r="JWY64" s="231"/>
      <c r="JWZ64" s="232"/>
      <c r="JXA64" s="233"/>
      <c r="JXB64" s="233"/>
      <c r="JXC64" s="233"/>
      <c r="JXD64" s="233"/>
      <c r="JXE64" s="233"/>
      <c r="JXF64" s="233"/>
      <c r="JXG64" s="231"/>
      <c r="JXH64" s="231"/>
      <c r="JXI64" s="229"/>
      <c r="JXJ64" s="230"/>
      <c r="JXK64" s="231"/>
      <c r="JXL64" s="232"/>
      <c r="JXM64" s="233"/>
      <c r="JXN64" s="233"/>
      <c r="JXO64" s="233"/>
      <c r="JXP64" s="233"/>
      <c r="JXQ64" s="233"/>
      <c r="JXR64" s="233"/>
      <c r="JXS64" s="231"/>
      <c r="JXT64" s="231"/>
      <c r="JXU64" s="229"/>
      <c r="JXV64" s="230"/>
      <c r="JXW64" s="231"/>
      <c r="JXX64" s="232"/>
      <c r="JXY64" s="233"/>
      <c r="JXZ64" s="233"/>
      <c r="JYA64" s="233"/>
      <c r="JYB64" s="233"/>
      <c r="JYC64" s="233"/>
      <c r="JYD64" s="233"/>
      <c r="JYE64" s="231"/>
      <c r="JYF64" s="231"/>
      <c r="JYG64" s="229"/>
      <c r="JYH64" s="230"/>
      <c r="JYI64" s="231"/>
      <c r="JYJ64" s="232"/>
      <c r="JYK64" s="233"/>
      <c r="JYL64" s="233"/>
      <c r="JYM64" s="233"/>
      <c r="JYN64" s="233"/>
      <c r="JYO64" s="233"/>
      <c r="JYP64" s="233"/>
      <c r="JYQ64" s="231"/>
      <c r="JYR64" s="231"/>
      <c r="JYS64" s="229"/>
      <c r="JYT64" s="230"/>
      <c r="JYU64" s="231"/>
      <c r="JYV64" s="232"/>
      <c r="JYW64" s="233"/>
      <c r="JYX64" s="233"/>
      <c r="JYY64" s="233"/>
      <c r="JYZ64" s="233"/>
      <c r="JZA64" s="233"/>
      <c r="JZB64" s="233"/>
      <c r="JZC64" s="231"/>
      <c r="JZD64" s="231"/>
      <c r="JZE64" s="229"/>
      <c r="JZF64" s="230"/>
      <c r="JZG64" s="231"/>
      <c r="JZH64" s="232"/>
      <c r="JZI64" s="233"/>
      <c r="JZJ64" s="233"/>
      <c r="JZK64" s="233"/>
      <c r="JZL64" s="233"/>
      <c r="JZM64" s="233"/>
      <c r="JZN64" s="233"/>
      <c r="JZO64" s="231"/>
      <c r="JZP64" s="231"/>
      <c r="JZQ64" s="229"/>
      <c r="JZR64" s="230"/>
      <c r="JZS64" s="231"/>
      <c r="JZT64" s="232"/>
      <c r="JZU64" s="233"/>
      <c r="JZV64" s="233"/>
      <c r="JZW64" s="233"/>
      <c r="JZX64" s="233"/>
      <c r="JZY64" s="233"/>
      <c r="JZZ64" s="233"/>
      <c r="KAA64" s="231"/>
      <c r="KAB64" s="231"/>
      <c r="KAC64" s="229"/>
      <c r="KAD64" s="230"/>
      <c r="KAE64" s="231"/>
      <c r="KAF64" s="232"/>
      <c r="KAG64" s="233"/>
      <c r="KAH64" s="233"/>
      <c r="KAI64" s="233"/>
      <c r="KAJ64" s="233"/>
      <c r="KAK64" s="233"/>
      <c r="KAL64" s="233"/>
      <c r="KAM64" s="231"/>
      <c r="KAN64" s="231"/>
      <c r="KAO64" s="229"/>
      <c r="KAP64" s="230"/>
      <c r="KAQ64" s="231"/>
      <c r="KAR64" s="232"/>
      <c r="KAS64" s="233"/>
      <c r="KAT64" s="233"/>
      <c r="KAU64" s="233"/>
      <c r="KAV64" s="233"/>
      <c r="KAW64" s="233"/>
      <c r="KAX64" s="233"/>
      <c r="KAY64" s="231"/>
      <c r="KAZ64" s="231"/>
      <c r="KBA64" s="229"/>
      <c r="KBB64" s="230"/>
      <c r="KBC64" s="231"/>
      <c r="KBD64" s="232"/>
      <c r="KBE64" s="233"/>
      <c r="KBF64" s="233"/>
      <c r="KBG64" s="233"/>
      <c r="KBH64" s="233"/>
      <c r="KBI64" s="233"/>
      <c r="KBJ64" s="233"/>
      <c r="KBK64" s="231"/>
      <c r="KBL64" s="231"/>
      <c r="KBM64" s="229"/>
      <c r="KBN64" s="230"/>
      <c r="KBO64" s="231"/>
      <c r="KBP64" s="232"/>
      <c r="KBQ64" s="233"/>
      <c r="KBR64" s="233"/>
      <c r="KBS64" s="233"/>
      <c r="KBT64" s="233"/>
      <c r="KBU64" s="233"/>
      <c r="KBV64" s="233"/>
      <c r="KBW64" s="231"/>
      <c r="KBX64" s="231"/>
      <c r="KBY64" s="229"/>
      <c r="KBZ64" s="230"/>
      <c r="KCA64" s="231"/>
      <c r="KCB64" s="232"/>
      <c r="KCC64" s="233"/>
      <c r="KCD64" s="233"/>
      <c r="KCE64" s="233"/>
      <c r="KCF64" s="233"/>
      <c r="KCG64" s="233"/>
      <c r="KCH64" s="233"/>
      <c r="KCI64" s="231"/>
      <c r="KCJ64" s="231"/>
      <c r="KCK64" s="229"/>
      <c r="KCL64" s="230"/>
      <c r="KCM64" s="231"/>
      <c r="KCN64" s="232"/>
      <c r="KCO64" s="233"/>
      <c r="KCP64" s="233"/>
      <c r="KCQ64" s="233"/>
      <c r="KCR64" s="233"/>
      <c r="KCS64" s="233"/>
      <c r="KCT64" s="233"/>
      <c r="KCU64" s="231"/>
      <c r="KCV64" s="231"/>
      <c r="KCW64" s="229"/>
      <c r="KCX64" s="230"/>
      <c r="KCY64" s="231"/>
      <c r="KCZ64" s="232"/>
      <c r="KDA64" s="233"/>
      <c r="KDB64" s="233"/>
      <c r="KDC64" s="233"/>
      <c r="KDD64" s="233"/>
      <c r="KDE64" s="233"/>
      <c r="KDF64" s="233"/>
      <c r="KDG64" s="231"/>
      <c r="KDH64" s="231"/>
      <c r="KDI64" s="229"/>
      <c r="KDJ64" s="230"/>
      <c r="KDK64" s="231"/>
      <c r="KDL64" s="232"/>
      <c r="KDM64" s="233"/>
      <c r="KDN64" s="233"/>
      <c r="KDO64" s="233"/>
      <c r="KDP64" s="233"/>
      <c r="KDQ64" s="233"/>
      <c r="KDR64" s="233"/>
      <c r="KDS64" s="231"/>
      <c r="KDT64" s="231"/>
      <c r="KDU64" s="229"/>
      <c r="KDV64" s="230"/>
      <c r="KDW64" s="231"/>
      <c r="KDX64" s="232"/>
      <c r="KDY64" s="233"/>
      <c r="KDZ64" s="233"/>
      <c r="KEA64" s="233"/>
      <c r="KEB64" s="233"/>
      <c r="KEC64" s="233"/>
      <c r="KED64" s="233"/>
      <c r="KEE64" s="231"/>
      <c r="KEF64" s="231"/>
      <c r="KEG64" s="229"/>
      <c r="KEH64" s="230"/>
      <c r="KEI64" s="231"/>
      <c r="KEJ64" s="232"/>
      <c r="KEK64" s="233"/>
      <c r="KEL64" s="233"/>
      <c r="KEM64" s="233"/>
      <c r="KEN64" s="233"/>
      <c r="KEO64" s="233"/>
      <c r="KEP64" s="233"/>
      <c r="KEQ64" s="231"/>
      <c r="KER64" s="231"/>
      <c r="KES64" s="229"/>
      <c r="KET64" s="230"/>
      <c r="KEU64" s="231"/>
      <c r="KEV64" s="232"/>
      <c r="KEW64" s="233"/>
      <c r="KEX64" s="233"/>
      <c r="KEY64" s="233"/>
      <c r="KEZ64" s="233"/>
      <c r="KFA64" s="233"/>
      <c r="KFB64" s="233"/>
      <c r="KFC64" s="231"/>
      <c r="KFD64" s="231"/>
      <c r="KFE64" s="229"/>
      <c r="KFF64" s="230"/>
      <c r="KFG64" s="231"/>
      <c r="KFH64" s="232"/>
      <c r="KFI64" s="233"/>
      <c r="KFJ64" s="233"/>
      <c r="KFK64" s="233"/>
      <c r="KFL64" s="233"/>
      <c r="KFM64" s="233"/>
      <c r="KFN64" s="233"/>
      <c r="KFO64" s="231"/>
      <c r="KFP64" s="231"/>
      <c r="KFQ64" s="229"/>
      <c r="KFR64" s="230"/>
      <c r="KFS64" s="231"/>
      <c r="KFT64" s="232"/>
      <c r="KFU64" s="233"/>
      <c r="KFV64" s="233"/>
      <c r="KFW64" s="233"/>
      <c r="KFX64" s="233"/>
      <c r="KFY64" s="233"/>
      <c r="KFZ64" s="233"/>
      <c r="KGA64" s="231"/>
      <c r="KGB64" s="231"/>
      <c r="KGC64" s="229"/>
      <c r="KGD64" s="230"/>
      <c r="KGE64" s="231"/>
      <c r="KGF64" s="232"/>
      <c r="KGG64" s="233"/>
      <c r="KGH64" s="233"/>
      <c r="KGI64" s="233"/>
      <c r="KGJ64" s="233"/>
      <c r="KGK64" s="233"/>
      <c r="KGL64" s="233"/>
      <c r="KGM64" s="231"/>
      <c r="KGN64" s="231"/>
      <c r="KGO64" s="229"/>
      <c r="KGP64" s="230"/>
      <c r="KGQ64" s="231"/>
      <c r="KGR64" s="232"/>
      <c r="KGS64" s="233"/>
      <c r="KGT64" s="233"/>
      <c r="KGU64" s="233"/>
      <c r="KGV64" s="233"/>
      <c r="KGW64" s="233"/>
      <c r="KGX64" s="233"/>
      <c r="KGY64" s="231"/>
      <c r="KGZ64" s="231"/>
      <c r="KHA64" s="229"/>
      <c r="KHB64" s="230"/>
      <c r="KHC64" s="231"/>
      <c r="KHD64" s="232"/>
      <c r="KHE64" s="233"/>
      <c r="KHF64" s="233"/>
      <c r="KHG64" s="233"/>
      <c r="KHH64" s="233"/>
      <c r="KHI64" s="233"/>
      <c r="KHJ64" s="233"/>
      <c r="KHK64" s="231"/>
      <c r="KHL64" s="231"/>
      <c r="KHM64" s="229"/>
      <c r="KHN64" s="230"/>
      <c r="KHO64" s="231"/>
      <c r="KHP64" s="232"/>
      <c r="KHQ64" s="233"/>
      <c r="KHR64" s="233"/>
      <c r="KHS64" s="233"/>
      <c r="KHT64" s="233"/>
      <c r="KHU64" s="233"/>
      <c r="KHV64" s="233"/>
      <c r="KHW64" s="231"/>
      <c r="KHX64" s="231"/>
      <c r="KHY64" s="229"/>
      <c r="KHZ64" s="230"/>
      <c r="KIA64" s="231"/>
      <c r="KIB64" s="232"/>
      <c r="KIC64" s="233"/>
      <c r="KID64" s="233"/>
      <c r="KIE64" s="233"/>
      <c r="KIF64" s="233"/>
      <c r="KIG64" s="233"/>
      <c r="KIH64" s="233"/>
      <c r="KII64" s="231"/>
      <c r="KIJ64" s="231"/>
      <c r="KIK64" s="229"/>
      <c r="KIL64" s="230"/>
      <c r="KIM64" s="231"/>
      <c r="KIN64" s="232"/>
      <c r="KIO64" s="233"/>
      <c r="KIP64" s="233"/>
      <c r="KIQ64" s="233"/>
      <c r="KIR64" s="233"/>
      <c r="KIS64" s="233"/>
      <c r="KIT64" s="233"/>
      <c r="KIU64" s="231"/>
      <c r="KIV64" s="231"/>
      <c r="KIW64" s="229"/>
      <c r="KIX64" s="230"/>
      <c r="KIY64" s="231"/>
      <c r="KIZ64" s="232"/>
      <c r="KJA64" s="233"/>
      <c r="KJB64" s="233"/>
      <c r="KJC64" s="233"/>
      <c r="KJD64" s="233"/>
      <c r="KJE64" s="233"/>
      <c r="KJF64" s="233"/>
      <c r="KJG64" s="231"/>
      <c r="KJH64" s="231"/>
      <c r="KJI64" s="229"/>
      <c r="KJJ64" s="230"/>
      <c r="KJK64" s="231"/>
      <c r="KJL64" s="232"/>
      <c r="KJM64" s="233"/>
      <c r="KJN64" s="233"/>
      <c r="KJO64" s="233"/>
      <c r="KJP64" s="233"/>
      <c r="KJQ64" s="233"/>
      <c r="KJR64" s="233"/>
      <c r="KJS64" s="231"/>
      <c r="KJT64" s="231"/>
      <c r="KJU64" s="229"/>
      <c r="KJV64" s="230"/>
      <c r="KJW64" s="231"/>
      <c r="KJX64" s="232"/>
      <c r="KJY64" s="233"/>
      <c r="KJZ64" s="233"/>
      <c r="KKA64" s="233"/>
      <c r="KKB64" s="233"/>
      <c r="KKC64" s="233"/>
      <c r="KKD64" s="233"/>
      <c r="KKE64" s="231"/>
      <c r="KKF64" s="231"/>
      <c r="KKG64" s="229"/>
      <c r="KKH64" s="230"/>
      <c r="KKI64" s="231"/>
      <c r="KKJ64" s="232"/>
      <c r="KKK64" s="233"/>
      <c r="KKL64" s="233"/>
      <c r="KKM64" s="233"/>
      <c r="KKN64" s="233"/>
      <c r="KKO64" s="233"/>
      <c r="KKP64" s="233"/>
      <c r="KKQ64" s="231"/>
      <c r="KKR64" s="231"/>
      <c r="KKS64" s="229"/>
      <c r="KKT64" s="230"/>
      <c r="KKU64" s="231"/>
      <c r="KKV64" s="232"/>
      <c r="KKW64" s="233"/>
      <c r="KKX64" s="233"/>
      <c r="KKY64" s="233"/>
      <c r="KKZ64" s="233"/>
      <c r="KLA64" s="233"/>
      <c r="KLB64" s="233"/>
      <c r="KLC64" s="231"/>
      <c r="KLD64" s="231"/>
      <c r="KLE64" s="229"/>
      <c r="KLF64" s="230"/>
      <c r="KLG64" s="231"/>
      <c r="KLH64" s="232"/>
      <c r="KLI64" s="233"/>
      <c r="KLJ64" s="233"/>
      <c r="KLK64" s="233"/>
      <c r="KLL64" s="233"/>
      <c r="KLM64" s="233"/>
      <c r="KLN64" s="233"/>
      <c r="KLO64" s="231"/>
      <c r="KLP64" s="231"/>
      <c r="KLQ64" s="229"/>
      <c r="KLR64" s="230"/>
      <c r="KLS64" s="231"/>
      <c r="KLT64" s="232"/>
      <c r="KLU64" s="233"/>
      <c r="KLV64" s="233"/>
      <c r="KLW64" s="233"/>
      <c r="KLX64" s="233"/>
      <c r="KLY64" s="233"/>
      <c r="KLZ64" s="233"/>
      <c r="KMA64" s="231"/>
      <c r="KMB64" s="231"/>
      <c r="KMC64" s="229"/>
      <c r="KMD64" s="230"/>
      <c r="KME64" s="231"/>
      <c r="KMF64" s="232"/>
      <c r="KMG64" s="233"/>
      <c r="KMH64" s="233"/>
      <c r="KMI64" s="233"/>
      <c r="KMJ64" s="233"/>
      <c r="KMK64" s="233"/>
      <c r="KML64" s="233"/>
      <c r="KMM64" s="231"/>
      <c r="KMN64" s="231"/>
      <c r="KMO64" s="229"/>
      <c r="KMP64" s="230"/>
      <c r="KMQ64" s="231"/>
      <c r="KMR64" s="232"/>
      <c r="KMS64" s="233"/>
      <c r="KMT64" s="233"/>
      <c r="KMU64" s="233"/>
      <c r="KMV64" s="233"/>
      <c r="KMW64" s="233"/>
      <c r="KMX64" s="233"/>
      <c r="KMY64" s="231"/>
      <c r="KMZ64" s="231"/>
      <c r="KNA64" s="229"/>
      <c r="KNB64" s="230"/>
      <c r="KNC64" s="231"/>
      <c r="KND64" s="232"/>
      <c r="KNE64" s="233"/>
      <c r="KNF64" s="233"/>
      <c r="KNG64" s="233"/>
      <c r="KNH64" s="233"/>
      <c r="KNI64" s="233"/>
      <c r="KNJ64" s="233"/>
      <c r="KNK64" s="231"/>
      <c r="KNL64" s="231"/>
      <c r="KNM64" s="229"/>
      <c r="KNN64" s="230"/>
      <c r="KNO64" s="231"/>
      <c r="KNP64" s="232"/>
      <c r="KNQ64" s="233"/>
      <c r="KNR64" s="233"/>
      <c r="KNS64" s="233"/>
      <c r="KNT64" s="233"/>
      <c r="KNU64" s="233"/>
      <c r="KNV64" s="233"/>
      <c r="KNW64" s="231"/>
      <c r="KNX64" s="231"/>
      <c r="KNY64" s="229"/>
      <c r="KNZ64" s="230"/>
      <c r="KOA64" s="231"/>
      <c r="KOB64" s="232"/>
      <c r="KOC64" s="233"/>
      <c r="KOD64" s="233"/>
      <c r="KOE64" s="233"/>
      <c r="KOF64" s="233"/>
      <c r="KOG64" s="233"/>
      <c r="KOH64" s="233"/>
      <c r="KOI64" s="231"/>
      <c r="KOJ64" s="231"/>
      <c r="KOK64" s="229"/>
      <c r="KOL64" s="230"/>
      <c r="KOM64" s="231"/>
      <c r="KON64" s="232"/>
      <c r="KOO64" s="233"/>
      <c r="KOP64" s="233"/>
      <c r="KOQ64" s="233"/>
      <c r="KOR64" s="233"/>
      <c r="KOS64" s="233"/>
      <c r="KOT64" s="233"/>
      <c r="KOU64" s="231"/>
      <c r="KOV64" s="231"/>
      <c r="KOW64" s="229"/>
      <c r="KOX64" s="230"/>
      <c r="KOY64" s="231"/>
      <c r="KOZ64" s="232"/>
      <c r="KPA64" s="233"/>
      <c r="KPB64" s="233"/>
      <c r="KPC64" s="233"/>
      <c r="KPD64" s="233"/>
      <c r="KPE64" s="233"/>
      <c r="KPF64" s="233"/>
      <c r="KPG64" s="231"/>
      <c r="KPH64" s="231"/>
      <c r="KPI64" s="229"/>
      <c r="KPJ64" s="230"/>
      <c r="KPK64" s="231"/>
      <c r="KPL64" s="232"/>
      <c r="KPM64" s="233"/>
      <c r="KPN64" s="233"/>
      <c r="KPO64" s="233"/>
      <c r="KPP64" s="233"/>
      <c r="KPQ64" s="233"/>
      <c r="KPR64" s="233"/>
      <c r="KPS64" s="231"/>
      <c r="KPT64" s="231"/>
      <c r="KPU64" s="229"/>
      <c r="KPV64" s="230"/>
      <c r="KPW64" s="231"/>
      <c r="KPX64" s="232"/>
      <c r="KPY64" s="233"/>
      <c r="KPZ64" s="233"/>
      <c r="KQA64" s="233"/>
      <c r="KQB64" s="233"/>
      <c r="KQC64" s="233"/>
      <c r="KQD64" s="233"/>
      <c r="KQE64" s="231"/>
      <c r="KQF64" s="231"/>
      <c r="KQG64" s="229"/>
      <c r="KQH64" s="230"/>
      <c r="KQI64" s="231"/>
      <c r="KQJ64" s="232"/>
      <c r="KQK64" s="233"/>
      <c r="KQL64" s="233"/>
      <c r="KQM64" s="233"/>
      <c r="KQN64" s="233"/>
      <c r="KQO64" s="233"/>
      <c r="KQP64" s="233"/>
      <c r="KQQ64" s="231"/>
      <c r="KQR64" s="231"/>
      <c r="KQS64" s="229"/>
      <c r="KQT64" s="230"/>
      <c r="KQU64" s="231"/>
      <c r="KQV64" s="232"/>
      <c r="KQW64" s="233"/>
      <c r="KQX64" s="233"/>
      <c r="KQY64" s="233"/>
      <c r="KQZ64" s="233"/>
      <c r="KRA64" s="233"/>
      <c r="KRB64" s="233"/>
      <c r="KRC64" s="231"/>
      <c r="KRD64" s="231"/>
      <c r="KRE64" s="229"/>
      <c r="KRF64" s="230"/>
      <c r="KRG64" s="231"/>
      <c r="KRH64" s="232"/>
      <c r="KRI64" s="233"/>
      <c r="KRJ64" s="233"/>
      <c r="KRK64" s="233"/>
      <c r="KRL64" s="233"/>
      <c r="KRM64" s="233"/>
      <c r="KRN64" s="233"/>
      <c r="KRO64" s="231"/>
      <c r="KRP64" s="231"/>
      <c r="KRQ64" s="229"/>
      <c r="KRR64" s="230"/>
      <c r="KRS64" s="231"/>
      <c r="KRT64" s="232"/>
      <c r="KRU64" s="233"/>
      <c r="KRV64" s="233"/>
      <c r="KRW64" s="233"/>
      <c r="KRX64" s="233"/>
      <c r="KRY64" s="233"/>
      <c r="KRZ64" s="233"/>
      <c r="KSA64" s="231"/>
      <c r="KSB64" s="231"/>
      <c r="KSC64" s="229"/>
      <c r="KSD64" s="230"/>
      <c r="KSE64" s="231"/>
      <c r="KSF64" s="232"/>
      <c r="KSG64" s="233"/>
      <c r="KSH64" s="233"/>
      <c r="KSI64" s="233"/>
      <c r="KSJ64" s="233"/>
      <c r="KSK64" s="233"/>
      <c r="KSL64" s="233"/>
      <c r="KSM64" s="231"/>
      <c r="KSN64" s="231"/>
      <c r="KSO64" s="229"/>
      <c r="KSP64" s="230"/>
      <c r="KSQ64" s="231"/>
      <c r="KSR64" s="232"/>
      <c r="KSS64" s="233"/>
      <c r="KST64" s="233"/>
      <c r="KSU64" s="233"/>
      <c r="KSV64" s="233"/>
      <c r="KSW64" s="233"/>
      <c r="KSX64" s="233"/>
      <c r="KSY64" s="231"/>
      <c r="KSZ64" s="231"/>
      <c r="KTA64" s="229"/>
      <c r="KTB64" s="230"/>
      <c r="KTC64" s="231"/>
      <c r="KTD64" s="232"/>
      <c r="KTE64" s="233"/>
      <c r="KTF64" s="233"/>
      <c r="KTG64" s="233"/>
      <c r="KTH64" s="233"/>
      <c r="KTI64" s="233"/>
      <c r="KTJ64" s="233"/>
      <c r="KTK64" s="231"/>
      <c r="KTL64" s="231"/>
      <c r="KTM64" s="229"/>
      <c r="KTN64" s="230"/>
      <c r="KTO64" s="231"/>
      <c r="KTP64" s="232"/>
      <c r="KTQ64" s="233"/>
      <c r="KTR64" s="233"/>
      <c r="KTS64" s="233"/>
      <c r="KTT64" s="233"/>
      <c r="KTU64" s="233"/>
      <c r="KTV64" s="233"/>
      <c r="KTW64" s="231"/>
      <c r="KTX64" s="231"/>
      <c r="KTY64" s="229"/>
      <c r="KTZ64" s="230"/>
      <c r="KUA64" s="231"/>
      <c r="KUB64" s="232"/>
      <c r="KUC64" s="233"/>
      <c r="KUD64" s="233"/>
      <c r="KUE64" s="233"/>
      <c r="KUF64" s="233"/>
      <c r="KUG64" s="233"/>
      <c r="KUH64" s="233"/>
      <c r="KUI64" s="231"/>
      <c r="KUJ64" s="231"/>
      <c r="KUK64" s="229"/>
      <c r="KUL64" s="230"/>
      <c r="KUM64" s="231"/>
      <c r="KUN64" s="232"/>
      <c r="KUO64" s="233"/>
      <c r="KUP64" s="233"/>
      <c r="KUQ64" s="233"/>
      <c r="KUR64" s="233"/>
      <c r="KUS64" s="233"/>
      <c r="KUT64" s="233"/>
      <c r="KUU64" s="231"/>
      <c r="KUV64" s="231"/>
      <c r="KUW64" s="229"/>
      <c r="KUX64" s="230"/>
      <c r="KUY64" s="231"/>
      <c r="KUZ64" s="232"/>
      <c r="KVA64" s="233"/>
      <c r="KVB64" s="233"/>
      <c r="KVC64" s="233"/>
      <c r="KVD64" s="233"/>
      <c r="KVE64" s="233"/>
      <c r="KVF64" s="233"/>
      <c r="KVG64" s="231"/>
      <c r="KVH64" s="231"/>
      <c r="KVI64" s="229"/>
      <c r="KVJ64" s="230"/>
      <c r="KVK64" s="231"/>
      <c r="KVL64" s="232"/>
      <c r="KVM64" s="233"/>
      <c r="KVN64" s="233"/>
      <c r="KVO64" s="233"/>
      <c r="KVP64" s="233"/>
      <c r="KVQ64" s="233"/>
      <c r="KVR64" s="233"/>
      <c r="KVS64" s="231"/>
      <c r="KVT64" s="231"/>
      <c r="KVU64" s="229"/>
      <c r="KVV64" s="230"/>
      <c r="KVW64" s="231"/>
      <c r="KVX64" s="232"/>
      <c r="KVY64" s="233"/>
      <c r="KVZ64" s="233"/>
      <c r="KWA64" s="233"/>
      <c r="KWB64" s="233"/>
      <c r="KWC64" s="233"/>
      <c r="KWD64" s="233"/>
      <c r="KWE64" s="231"/>
      <c r="KWF64" s="231"/>
      <c r="KWG64" s="229"/>
      <c r="KWH64" s="230"/>
      <c r="KWI64" s="231"/>
      <c r="KWJ64" s="232"/>
      <c r="KWK64" s="233"/>
      <c r="KWL64" s="233"/>
      <c r="KWM64" s="233"/>
      <c r="KWN64" s="233"/>
      <c r="KWO64" s="233"/>
      <c r="KWP64" s="233"/>
      <c r="KWQ64" s="231"/>
      <c r="KWR64" s="231"/>
      <c r="KWS64" s="229"/>
      <c r="KWT64" s="230"/>
      <c r="KWU64" s="231"/>
      <c r="KWV64" s="232"/>
      <c r="KWW64" s="233"/>
      <c r="KWX64" s="233"/>
      <c r="KWY64" s="233"/>
      <c r="KWZ64" s="233"/>
      <c r="KXA64" s="233"/>
      <c r="KXB64" s="233"/>
      <c r="KXC64" s="231"/>
      <c r="KXD64" s="231"/>
      <c r="KXE64" s="229"/>
      <c r="KXF64" s="230"/>
      <c r="KXG64" s="231"/>
      <c r="KXH64" s="232"/>
      <c r="KXI64" s="233"/>
      <c r="KXJ64" s="233"/>
      <c r="KXK64" s="233"/>
      <c r="KXL64" s="233"/>
      <c r="KXM64" s="233"/>
      <c r="KXN64" s="233"/>
      <c r="KXO64" s="231"/>
      <c r="KXP64" s="231"/>
      <c r="KXQ64" s="229"/>
      <c r="KXR64" s="230"/>
      <c r="KXS64" s="231"/>
      <c r="KXT64" s="232"/>
      <c r="KXU64" s="233"/>
      <c r="KXV64" s="233"/>
      <c r="KXW64" s="233"/>
      <c r="KXX64" s="233"/>
      <c r="KXY64" s="233"/>
      <c r="KXZ64" s="233"/>
      <c r="KYA64" s="231"/>
      <c r="KYB64" s="231"/>
      <c r="KYC64" s="229"/>
      <c r="KYD64" s="230"/>
      <c r="KYE64" s="231"/>
      <c r="KYF64" s="232"/>
      <c r="KYG64" s="233"/>
      <c r="KYH64" s="233"/>
      <c r="KYI64" s="233"/>
      <c r="KYJ64" s="233"/>
      <c r="KYK64" s="233"/>
      <c r="KYL64" s="233"/>
      <c r="KYM64" s="231"/>
      <c r="KYN64" s="231"/>
      <c r="KYO64" s="229"/>
      <c r="KYP64" s="230"/>
      <c r="KYQ64" s="231"/>
      <c r="KYR64" s="232"/>
      <c r="KYS64" s="233"/>
      <c r="KYT64" s="233"/>
      <c r="KYU64" s="233"/>
      <c r="KYV64" s="233"/>
      <c r="KYW64" s="233"/>
      <c r="KYX64" s="233"/>
      <c r="KYY64" s="231"/>
      <c r="KYZ64" s="231"/>
      <c r="KZA64" s="229"/>
      <c r="KZB64" s="230"/>
      <c r="KZC64" s="231"/>
      <c r="KZD64" s="232"/>
      <c r="KZE64" s="233"/>
      <c r="KZF64" s="233"/>
      <c r="KZG64" s="233"/>
      <c r="KZH64" s="233"/>
      <c r="KZI64" s="233"/>
      <c r="KZJ64" s="233"/>
      <c r="KZK64" s="231"/>
      <c r="KZL64" s="231"/>
      <c r="KZM64" s="229"/>
      <c r="KZN64" s="230"/>
      <c r="KZO64" s="231"/>
      <c r="KZP64" s="232"/>
      <c r="KZQ64" s="233"/>
      <c r="KZR64" s="233"/>
      <c r="KZS64" s="233"/>
      <c r="KZT64" s="233"/>
      <c r="KZU64" s="233"/>
      <c r="KZV64" s="233"/>
      <c r="KZW64" s="231"/>
      <c r="KZX64" s="231"/>
      <c r="KZY64" s="229"/>
      <c r="KZZ64" s="230"/>
      <c r="LAA64" s="231"/>
      <c r="LAB64" s="232"/>
      <c r="LAC64" s="233"/>
      <c r="LAD64" s="233"/>
      <c r="LAE64" s="233"/>
      <c r="LAF64" s="233"/>
      <c r="LAG64" s="233"/>
      <c r="LAH64" s="233"/>
      <c r="LAI64" s="231"/>
      <c r="LAJ64" s="231"/>
      <c r="LAK64" s="229"/>
      <c r="LAL64" s="230"/>
      <c r="LAM64" s="231"/>
      <c r="LAN64" s="232"/>
      <c r="LAO64" s="233"/>
      <c r="LAP64" s="233"/>
      <c r="LAQ64" s="233"/>
      <c r="LAR64" s="233"/>
      <c r="LAS64" s="233"/>
      <c r="LAT64" s="233"/>
      <c r="LAU64" s="231"/>
      <c r="LAV64" s="231"/>
      <c r="LAW64" s="229"/>
      <c r="LAX64" s="230"/>
      <c r="LAY64" s="231"/>
      <c r="LAZ64" s="232"/>
      <c r="LBA64" s="233"/>
      <c r="LBB64" s="233"/>
      <c r="LBC64" s="233"/>
      <c r="LBD64" s="233"/>
      <c r="LBE64" s="233"/>
      <c r="LBF64" s="233"/>
      <c r="LBG64" s="231"/>
      <c r="LBH64" s="231"/>
      <c r="LBI64" s="229"/>
      <c r="LBJ64" s="230"/>
      <c r="LBK64" s="231"/>
      <c r="LBL64" s="232"/>
      <c r="LBM64" s="233"/>
      <c r="LBN64" s="233"/>
      <c r="LBO64" s="233"/>
      <c r="LBP64" s="233"/>
      <c r="LBQ64" s="233"/>
      <c r="LBR64" s="233"/>
      <c r="LBS64" s="231"/>
      <c r="LBT64" s="231"/>
      <c r="LBU64" s="229"/>
      <c r="LBV64" s="230"/>
      <c r="LBW64" s="231"/>
      <c r="LBX64" s="232"/>
      <c r="LBY64" s="233"/>
      <c r="LBZ64" s="233"/>
      <c r="LCA64" s="233"/>
      <c r="LCB64" s="233"/>
      <c r="LCC64" s="233"/>
      <c r="LCD64" s="233"/>
      <c r="LCE64" s="231"/>
      <c r="LCF64" s="231"/>
      <c r="LCG64" s="229"/>
      <c r="LCH64" s="230"/>
      <c r="LCI64" s="231"/>
      <c r="LCJ64" s="232"/>
      <c r="LCK64" s="233"/>
      <c r="LCL64" s="233"/>
      <c r="LCM64" s="233"/>
      <c r="LCN64" s="233"/>
      <c r="LCO64" s="233"/>
      <c r="LCP64" s="233"/>
      <c r="LCQ64" s="231"/>
      <c r="LCR64" s="231"/>
      <c r="LCS64" s="229"/>
      <c r="LCT64" s="230"/>
      <c r="LCU64" s="231"/>
      <c r="LCV64" s="232"/>
      <c r="LCW64" s="233"/>
      <c r="LCX64" s="233"/>
      <c r="LCY64" s="233"/>
      <c r="LCZ64" s="233"/>
      <c r="LDA64" s="233"/>
      <c r="LDB64" s="233"/>
      <c r="LDC64" s="231"/>
      <c r="LDD64" s="231"/>
      <c r="LDE64" s="229"/>
      <c r="LDF64" s="230"/>
      <c r="LDG64" s="231"/>
      <c r="LDH64" s="232"/>
      <c r="LDI64" s="233"/>
      <c r="LDJ64" s="233"/>
      <c r="LDK64" s="233"/>
      <c r="LDL64" s="233"/>
      <c r="LDM64" s="233"/>
      <c r="LDN64" s="233"/>
      <c r="LDO64" s="231"/>
      <c r="LDP64" s="231"/>
      <c r="LDQ64" s="229"/>
      <c r="LDR64" s="230"/>
      <c r="LDS64" s="231"/>
      <c r="LDT64" s="232"/>
      <c r="LDU64" s="233"/>
      <c r="LDV64" s="233"/>
      <c r="LDW64" s="233"/>
      <c r="LDX64" s="233"/>
      <c r="LDY64" s="233"/>
      <c r="LDZ64" s="233"/>
      <c r="LEA64" s="231"/>
      <c r="LEB64" s="231"/>
      <c r="LEC64" s="229"/>
      <c r="LED64" s="230"/>
      <c r="LEE64" s="231"/>
      <c r="LEF64" s="232"/>
      <c r="LEG64" s="233"/>
      <c r="LEH64" s="233"/>
      <c r="LEI64" s="233"/>
      <c r="LEJ64" s="233"/>
      <c r="LEK64" s="233"/>
      <c r="LEL64" s="233"/>
      <c r="LEM64" s="231"/>
      <c r="LEN64" s="231"/>
      <c r="LEO64" s="229"/>
      <c r="LEP64" s="230"/>
      <c r="LEQ64" s="231"/>
      <c r="LER64" s="232"/>
      <c r="LES64" s="233"/>
      <c r="LET64" s="233"/>
      <c r="LEU64" s="233"/>
      <c r="LEV64" s="233"/>
      <c r="LEW64" s="233"/>
      <c r="LEX64" s="233"/>
      <c r="LEY64" s="231"/>
      <c r="LEZ64" s="231"/>
      <c r="LFA64" s="229"/>
      <c r="LFB64" s="230"/>
      <c r="LFC64" s="231"/>
      <c r="LFD64" s="232"/>
      <c r="LFE64" s="233"/>
      <c r="LFF64" s="233"/>
      <c r="LFG64" s="233"/>
      <c r="LFH64" s="233"/>
      <c r="LFI64" s="233"/>
      <c r="LFJ64" s="233"/>
      <c r="LFK64" s="231"/>
      <c r="LFL64" s="231"/>
      <c r="LFM64" s="229"/>
      <c r="LFN64" s="230"/>
      <c r="LFO64" s="231"/>
      <c r="LFP64" s="232"/>
      <c r="LFQ64" s="233"/>
      <c r="LFR64" s="233"/>
      <c r="LFS64" s="233"/>
      <c r="LFT64" s="233"/>
      <c r="LFU64" s="233"/>
      <c r="LFV64" s="233"/>
      <c r="LFW64" s="231"/>
      <c r="LFX64" s="231"/>
      <c r="LFY64" s="229"/>
      <c r="LFZ64" s="230"/>
      <c r="LGA64" s="231"/>
      <c r="LGB64" s="232"/>
      <c r="LGC64" s="233"/>
      <c r="LGD64" s="233"/>
      <c r="LGE64" s="233"/>
      <c r="LGF64" s="233"/>
      <c r="LGG64" s="233"/>
      <c r="LGH64" s="233"/>
      <c r="LGI64" s="231"/>
      <c r="LGJ64" s="231"/>
      <c r="LGK64" s="229"/>
      <c r="LGL64" s="230"/>
      <c r="LGM64" s="231"/>
      <c r="LGN64" s="232"/>
      <c r="LGO64" s="233"/>
      <c r="LGP64" s="233"/>
      <c r="LGQ64" s="233"/>
      <c r="LGR64" s="233"/>
      <c r="LGS64" s="233"/>
      <c r="LGT64" s="233"/>
      <c r="LGU64" s="231"/>
      <c r="LGV64" s="231"/>
      <c r="LGW64" s="229"/>
      <c r="LGX64" s="230"/>
      <c r="LGY64" s="231"/>
      <c r="LGZ64" s="232"/>
      <c r="LHA64" s="233"/>
      <c r="LHB64" s="233"/>
      <c r="LHC64" s="233"/>
      <c r="LHD64" s="233"/>
      <c r="LHE64" s="233"/>
      <c r="LHF64" s="233"/>
      <c r="LHG64" s="231"/>
      <c r="LHH64" s="231"/>
      <c r="LHI64" s="229"/>
      <c r="LHJ64" s="230"/>
      <c r="LHK64" s="231"/>
      <c r="LHL64" s="232"/>
      <c r="LHM64" s="233"/>
      <c r="LHN64" s="233"/>
      <c r="LHO64" s="233"/>
      <c r="LHP64" s="233"/>
      <c r="LHQ64" s="233"/>
      <c r="LHR64" s="233"/>
      <c r="LHS64" s="231"/>
      <c r="LHT64" s="231"/>
      <c r="LHU64" s="229"/>
      <c r="LHV64" s="230"/>
      <c r="LHW64" s="231"/>
      <c r="LHX64" s="232"/>
      <c r="LHY64" s="233"/>
      <c r="LHZ64" s="233"/>
      <c r="LIA64" s="233"/>
      <c r="LIB64" s="233"/>
      <c r="LIC64" s="233"/>
      <c r="LID64" s="233"/>
      <c r="LIE64" s="231"/>
      <c r="LIF64" s="231"/>
      <c r="LIG64" s="229"/>
      <c r="LIH64" s="230"/>
      <c r="LII64" s="231"/>
      <c r="LIJ64" s="232"/>
      <c r="LIK64" s="233"/>
      <c r="LIL64" s="233"/>
      <c r="LIM64" s="233"/>
      <c r="LIN64" s="233"/>
      <c r="LIO64" s="233"/>
      <c r="LIP64" s="233"/>
      <c r="LIQ64" s="231"/>
      <c r="LIR64" s="231"/>
      <c r="LIS64" s="229"/>
      <c r="LIT64" s="230"/>
      <c r="LIU64" s="231"/>
      <c r="LIV64" s="232"/>
      <c r="LIW64" s="233"/>
      <c r="LIX64" s="233"/>
      <c r="LIY64" s="233"/>
      <c r="LIZ64" s="233"/>
      <c r="LJA64" s="233"/>
      <c r="LJB64" s="233"/>
      <c r="LJC64" s="231"/>
      <c r="LJD64" s="231"/>
      <c r="LJE64" s="229"/>
      <c r="LJF64" s="230"/>
      <c r="LJG64" s="231"/>
      <c r="LJH64" s="232"/>
      <c r="LJI64" s="233"/>
      <c r="LJJ64" s="233"/>
      <c r="LJK64" s="233"/>
      <c r="LJL64" s="233"/>
      <c r="LJM64" s="233"/>
      <c r="LJN64" s="233"/>
      <c r="LJO64" s="231"/>
      <c r="LJP64" s="231"/>
      <c r="LJQ64" s="229"/>
      <c r="LJR64" s="230"/>
      <c r="LJS64" s="231"/>
      <c r="LJT64" s="232"/>
      <c r="LJU64" s="233"/>
      <c r="LJV64" s="233"/>
      <c r="LJW64" s="233"/>
      <c r="LJX64" s="233"/>
      <c r="LJY64" s="233"/>
      <c r="LJZ64" s="233"/>
      <c r="LKA64" s="231"/>
      <c r="LKB64" s="231"/>
      <c r="LKC64" s="229"/>
      <c r="LKD64" s="230"/>
      <c r="LKE64" s="231"/>
      <c r="LKF64" s="232"/>
      <c r="LKG64" s="233"/>
      <c r="LKH64" s="233"/>
      <c r="LKI64" s="233"/>
      <c r="LKJ64" s="233"/>
      <c r="LKK64" s="233"/>
      <c r="LKL64" s="233"/>
      <c r="LKM64" s="231"/>
      <c r="LKN64" s="231"/>
      <c r="LKO64" s="229"/>
      <c r="LKP64" s="230"/>
      <c r="LKQ64" s="231"/>
      <c r="LKR64" s="232"/>
      <c r="LKS64" s="233"/>
      <c r="LKT64" s="233"/>
      <c r="LKU64" s="233"/>
      <c r="LKV64" s="233"/>
      <c r="LKW64" s="233"/>
      <c r="LKX64" s="233"/>
      <c r="LKY64" s="231"/>
      <c r="LKZ64" s="231"/>
      <c r="LLA64" s="229"/>
      <c r="LLB64" s="230"/>
      <c r="LLC64" s="231"/>
      <c r="LLD64" s="232"/>
      <c r="LLE64" s="233"/>
      <c r="LLF64" s="233"/>
      <c r="LLG64" s="233"/>
      <c r="LLH64" s="233"/>
      <c r="LLI64" s="233"/>
      <c r="LLJ64" s="233"/>
      <c r="LLK64" s="231"/>
      <c r="LLL64" s="231"/>
      <c r="LLM64" s="229"/>
      <c r="LLN64" s="230"/>
      <c r="LLO64" s="231"/>
      <c r="LLP64" s="232"/>
      <c r="LLQ64" s="233"/>
      <c r="LLR64" s="233"/>
      <c r="LLS64" s="233"/>
      <c r="LLT64" s="233"/>
      <c r="LLU64" s="233"/>
      <c r="LLV64" s="233"/>
      <c r="LLW64" s="231"/>
      <c r="LLX64" s="231"/>
      <c r="LLY64" s="229"/>
      <c r="LLZ64" s="230"/>
      <c r="LMA64" s="231"/>
      <c r="LMB64" s="232"/>
      <c r="LMC64" s="233"/>
      <c r="LMD64" s="233"/>
      <c r="LME64" s="233"/>
      <c r="LMF64" s="233"/>
      <c r="LMG64" s="233"/>
      <c r="LMH64" s="233"/>
      <c r="LMI64" s="231"/>
      <c r="LMJ64" s="231"/>
      <c r="LMK64" s="229"/>
      <c r="LML64" s="230"/>
      <c r="LMM64" s="231"/>
      <c r="LMN64" s="232"/>
      <c r="LMO64" s="233"/>
      <c r="LMP64" s="233"/>
      <c r="LMQ64" s="233"/>
      <c r="LMR64" s="233"/>
      <c r="LMS64" s="233"/>
      <c r="LMT64" s="233"/>
      <c r="LMU64" s="231"/>
      <c r="LMV64" s="231"/>
      <c r="LMW64" s="229"/>
      <c r="LMX64" s="230"/>
      <c r="LMY64" s="231"/>
      <c r="LMZ64" s="232"/>
      <c r="LNA64" s="233"/>
      <c r="LNB64" s="233"/>
      <c r="LNC64" s="233"/>
      <c r="LND64" s="233"/>
      <c r="LNE64" s="233"/>
      <c r="LNF64" s="233"/>
      <c r="LNG64" s="231"/>
      <c r="LNH64" s="231"/>
      <c r="LNI64" s="229"/>
      <c r="LNJ64" s="230"/>
      <c r="LNK64" s="231"/>
      <c r="LNL64" s="232"/>
      <c r="LNM64" s="233"/>
      <c r="LNN64" s="233"/>
      <c r="LNO64" s="233"/>
      <c r="LNP64" s="233"/>
      <c r="LNQ64" s="233"/>
      <c r="LNR64" s="233"/>
      <c r="LNS64" s="231"/>
      <c r="LNT64" s="231"/>
      <c r="LNU64" s="229"/>
      <c r="LNV64" s="230"/>
      <c r="LNW64" s="231"/>
      <c r="LNX64" s="232"/>
      <c r="LNY64" s="233"/>
      <c r="LNZ64" s="233"/>
      <c r="LOA64" s="233"/>
      <c r="LOB64" s="233"/>
      <c r="LOC64" s="233"/>
      <c r="LOD64" s="233"/>
      <c r="LOE64" s="231"/>
      <c r="LOF64" s="231"/>
      <c r="LOG64" s="229"/>
      <c r="LOH64" s="230"/>
      <c r="LOI64" s="231"/>
      <c r="LOJ64" s="232"/>
      <c r="LOK64" s="233"/>
      <c r="LOL64" s="233"/>
      <c r="LOM64" s="233"/>
      <c r="LON64" s="233"/>
      <c r="LOO64" s="233"/>
      <c r="LOP64" s="233"/>
      <c r="LOQ64" s="231"/>
      <c r="LOR64" s="231"/>
      <c r="LOS64" s="229"/>
      <c r="LOT64" s="230"/>
      <c r="LOU64" s="231"/>
      <c r="LOV64" s="232"/>
      <c r="LOW64" s="233"/>
      <c r="LOX64" s="233"/>
      <c r="LOY64" s="233"/>
      <c r="LOZ64" s="233"/>
      <c r="LPA64" s="233"/>
      <c r="LPB64" s="233"/>
      <c r="LPC64" s="231"/>
      <c r="LPD64" s="231"/>
      <c r="LPE64" s="229"/>
      <c r="LPF64" s="230"/>
      <c r="LPG64" s="231"/>
      <c r="LPH64" s="232"/>
      <c r="LPI64" s="233"/>
      <c r="LPJ64" s="233"/>
      <c r="LPK64" s="233"/>
      <c r="LPL64" s="233"/>
      <c r="LPM64" s="233"/>
      <c r="LPN64" s="233"/>
      <c r="LPO64" s="231"/>
      <c r="LPP64" s="231"/>
      <c r="LPQ64" s="229"/>
      <c r="LPR64" s="230"/>
      <c r="LPS64" s="231"/>
      <c r="LPT64" s="232"/>
      <c r="LPU64" s="233"/>
      <c r="LPV64" s="233"/>
      <c r="LPW64" s="233"/>
      <c r="LPX64" s="233"/>
      <c r="LPY64" s="233"/>
      <c r="LPZ64" s="233"/>
      <c r="LQA64" s="231"/>
      <c r="LQB64" s="231"/>
      <c r="LQC64" s="229"/>
      <c r="LQD64" s="230"/>
      <c r="LQE64" s="231"/>
      <c r="LQF64" s="232"/>
      <c r="LQG64" s="233"/>
      <c r="LQH64" s="233"/>
      <c r="LQI64" s="233"/>
      <c r="LQJ64" s="233"/>
      <c r="LQK64" s="233"/>
      <c r="LQL64" s="233"/>
      <c r="LQM64" s="231"/>
      <c r="LQN64" s="231"/>
      <c r="LQO64" s="229"/>
      <c r="LQP64" s="230"/>
      <c r="LQQ64" s="231"/>
      <c r="LQR64" s="232"/>
      <c r="LQS64" s="233"/>
      <c r="LQT64" s="233"/>
      <c r="LQU64" s="233"/>
      <c r="LQV64" s="233"/>
      <c r="LQW64" s="233"/>
      <c r="LQX64" s="233"/>
      <c r="LQY64" s="231"/>
      <c r="LQZ64" s="231"/>
      <c r="LRA64" s="229"/>
      <c r="LRB64" s="230"/>
      <c r="LRC64" s="231"/>
      <c r="LRD64" s="232"/>
      <c r="LRE64" s="233"/>
      <c r="LRF64" s="233"/>
      <c r="LRG64" s="233"/>
      <c r="LRH64" s="233"/>
      <c r="LRI64" s="233"/>
      <c r="LRJ64" s="233"/>
      <c r="LRK64" s="231"/>
      <c r="LRL64" s="231"/>
      <c r="LRM64" s="229"/>
      <c r="LRN64" s="230"/>
      <c r="LRO64" s="231"/>
      <c r="LRP64" s="232"/>
      <c r="LRQ64" s="233"/>
      <c r="LRR64" s="233"/>
      <c r="LRS64" s="233"/>
      <c r="LRT64" s="233"/>
      <c r="LRU64" s="233"/>
      <c r="LRV64" s="233"/>
      <c r="LRW64" s="231"/>
      <c r="LRX64" s="231"/>
      <c r="LRY64" s="229"/>
      <c r="LRZ64" s="230"/>
      <c r="LSA64" s="231"/>
      <c r="LSB64" s="232"/>
      <c r="LSC64" s="233"/>
      <c r="LSD64" s="233"/>
      <c r="LSE64" s="233"/>
      <c r="LSF64" s="233"/>
      <c r="LSG64" s="233"/>
      <c r="LSH64" s="233"/>
      <c r="LSI64" s="231"/>
      <c r="LSJ64" s="231"/>
      <c r="LSK64" s="229"/>
      <c r="LSL64" s="230"/>
      <c r="LSM64" s="231"/>
      <c r="LSN64" s="232"/>
      <c r="LSO64" s="233"/>
      <c r="LSP64" s="233"/>
      <c r="LSQ64" s="233"/>
      <c r="LSR64" s="233"/>
      <c r="LSS64" s="233"/>
      <c r="LST64" s="233"/>
      <c r="LSU64" s="231"/>
      <c r="LSV64" s="231"/>
      <c r="LSW64" s="229"/>
      <c r="LSX64" s="230"/>
      <c r="LSY64" s="231"/>
      <c r="LSZ64" s="232"/>
      <c r="LTA64" s="233"/>
      <c r="LTB64" s="233"/>
      <c r="LTC64" s="233"/>
      <c r="LTD64" s="233"/>
      <c r="LTE64" s="233"/>
      <c r="LTF64" s="233"/>
      <c r="LTG64" s="231"/>
      <c r="LTH64" s="231"/>
      <c r="LTI64" s="229"/>
      <c r="LTJ64" s="230"/>
      <c r="LTK64" s="231"/>
      <c r="LTL64" s="232"/>
      <c r="LTM64" s="233"/>
      <c r="LTN64" s="233"/>
      <c r="LTO64" s="233"/>
      <c r="LTP64" s="233"/>
      <c r="LTQ64" s="233"/>
      <c r="LTR64" s="233"/>
      <c r="LTS64" s="231"/>
      <c r="LTT64" s="231"/>
      <c r="LTU64" s="229"/>
      <c r="LTV64" s="230"/>
      <c r="LTW64" s="231"/>
      <c r="LTX64" s="232"/>
      <c r="LTY64" s="233"/>
      <c r="LTZ64" s="233"/>
      <c r="LUA64" s="233"/>
      <c r="LUB64" s="233"/>
      <c r="LUC64" s="233"/>
      <c r="LUD64" s="233"/>
      <c r="LUE64" s="231"/>
      <c r="LUF64" s="231"/>
      <c r="LUG64" s="229"/>
      <c r="LUH64" s="230"/>
      <c r="LUI64" s="231"/>
      <c r="LUJ64" s="232"/>
      <c r="LUK64" s="233"/>
      <c r="LUL64" s="233"/>
      <c r="LUM64" s="233"/>
      <c r="LUN64" s="233"/>
      <c r="LUO64" s="233"/>
      <c r="LUP64" s="233"/>
      <c r="LUQ64" s="231"/>
      <c r="LUR64" s="231"/>
      <c r="LUS64" s="229"/>
      <c r="LUT64" s="230"/>
      <c r="LUU64" s="231"/>
      <c r="LUV64" s="232"/>
      <c r="LUW64" s="233"/>
      <c r="LUX64" s="233"/>
      <c r="LUY64" s="233"/>
      <c r="LUZ64" s="233"/>
      <c r="LVA64" s="233"/>
      <c r="LVB64" s="233"/>
      <c r="LVC64" s="231"/>
      <c r="LVD64" s="231"/>
      <c r="LVE64" s="229"/>
      <c r="LVF64" s="230"/>
      <c r="LVG64" s="231"/>
      <c r="LVH64" s="232"/>
      <c r="LVI64" s="233"/>
      <c r="LVJ64" s="233"/>
      <c r="LVK64" s="233"/>
      <c r="LVL64" s="233"/>
      <c r="LVM64" s="233"/>
      <c r="LVN64" s="233"/>
      <c r="LVO64" s="231"/>
      <c r="LVP64" s="231"/>
      <c r="LVQ64" s="229"/>
      <c r="LVR64" s="230"/>
      <c r="LVS64" s="231"/>
      <c r="LVT64" s="232"/>
      <c r="LVU64" s="233"/>
      <c r="LVV64" s="233"/>
      <c r="LVW64" s="233"/>
      <c r="LVX64" s="233"/>
      <c r="LVY64" s="233"/>
      <c r="LVZ64" s="233"/>
      <c r="LWA64" s="231"/>
      <c r="LWB64" s="231"/>
      <c r="LWC64" s="229"/>
      <c r="LWD64" s="230"/>
      <c r="LWE64" s="231"/>
      <c r="LWF64" s="232"/>
      <c r="LWG64" s="233"/>
      <c r="LWH64" s="233"/>
      <c r="LWI64" s="233"/>
      <c r="LWJ64" s="233"/>
      <c r="LWK64" s="233"/>
      <c r="LWL64" s="233"/>
      <c r="LWM64" s="231"/>
      <c r="LWN64" s="231"/>
      <c r="LWO64" s="229"/>
      <c r="LWP64" s="230"/>
      <c r="LWQ64" s="231"/>
      <c r="LWR64" s="232"/>
      <c r="LWS64" s="233"/>
      <c r="LWT64" s="233"/>
      <c r="LWU64" s="233"/>
      <c r="LWV64" s="233"/>
      <c r="LWW64" s="233"/>
      <c r="LWX64" s="233"/>
      <c r="LWY64" s="231"/>
      <c r="LWZ64" s="231"/>
      <c r="LXA64" s="229"/>
      <c r="LXB64" s="230"/>
      <c r="LXC64" s="231"/>
      <c r="LXD64" s="232"/>
      <c r="LXE64" s="233"/>
      <c r="LXF64" s="233"/>
      <c r="LXG64" s="233"/>
      <c r="LXH64" s="233"/>
      <c r="LXI64" s="233"/>
      <c r="LXJ64" s="233"/>
      <c r="LXK64" s="231"/>
      <c r="LXL64" s="231"/>
      <c r="LXM64" s="229"/>
      <c r="LXN64" s="230"/>
      <c r="LXO64" s="231"/>
      <c r="LXP64" s="232"/>
      <c r="LXQ64" s="233"/>
      <c r="LXR64" s="233"/>
      <c r="LXS64" s="233"/>
      <c r="LXT64" s="233"/>
      <c r="LXU64" s="233"/>
      <c r="LXV64" s="233"/>
      <c r="LXW64" s="231"/>
      <c r="LXX64" s="231"/>
      <c r="LXY64" s="229"/>
      <c r="LXZ64" s="230"/>
      <c r="LYA64" s="231"/>
      <c r="LYB64" s="232"/>
      <c r="LYC64" s="233"/>
      <c r="LYD64" s="233"/>
      <c r="LYE64" s="233"/>
      <c r="LYF64" s="233"/>
      <c r="LYG64" s="233"/>
      <c r="LYH64" s="233"/>
      <c r="LYI64" s="231"/>
      <c r="LYJ64" s="231"/>
      <c r="LYK64" s="229"/>
      <c r="LYL64" s="230"/>
      <c r="LYM64" s="231"/>
      <c r="LYN64" s="232"/>
      <c r="LYO64" s="233"/>
      <c r="LYP64" s="233"/>
      <c r="LYQ64" s="233"/>
      <c r="LYR64" s="233"/>
      <c r="LYS64" s="233"/>
      <c r="LYT64" s="233"/>
      <c r="LYU64" s="231"/>
      <c r="LYV64" s="231"/>
      <c r="LYW64" s="229"/>
      <c r="LYX64" s="230"/>
      <c r="LYY64" s="231"/>
      <c r="LYZ64" s="232"/>
      <c r="LZA64" s="233"/>
      <c r="LZB64" s="233"/>
      <c r="LZC64" s="233"/>
      <c r="LZD64" s="233"/>
      <c r="LZE64" s="233"/>
      <c r="LZF64" s="233"/>
      <c r="LZG64" s="231"/>
      <c r="LZH64" s="231"/>
      <c r="LZI64" s="229"/>
      <c r="LZJ64" s="230"/>
      <c r="LZK64" s="231"/>
      <c r="LZL64" s="232"/>
      <c r="LZM64" s="233"/>
      <c r="LZN64" s="233"/>
      <c r="LZO64" s="233"/>
      <c r="LZP64" s="233"/>
      <c r="LZQ64" s="233"/>
      <c r="LZR64" s="233"/>
      <c r="LZS64" s="231"/>
      <c r="LZT64" s="231"/>
      <c r="LZU64" s="229"/>
      <c r="LZV64" s="230"/>
      <c r="LZW64" s="231"/>
      <c r="LZX64" s="232"/>
      <c r="LZY64" s="233"/>
      <c r="LZZ64" s="233"/>
      <c r="MAA64" s="233"/>
      <c r="MAB64" s="233"/>
      <c r="MAC64" s="233"/>
      <c r="MAD64" s="233"/>
      <c r="MAE64" s="231"/>
      <c r="MAF64" s="231"/>
      <c r="MAG64" s="229"/>
      <c r="MAH64" s="230"/>
      <c r="MAI64" s="231"/>
      <c r="MAJ64" s="232"/>
      <c r="MAK64" s="233"/>
      <c r="MAL64" s="233"/>
      <c r="MAM64" s="233"/>
      <c r="MAN64" s="233"/>
      <c r="MAO64" s="233"/>
      <c r="MAP64" s="233"/>
      <c r="MAQ64" s="231"/>
      <c r="MAR64" s="231"/>
      <c r="MAS64" s="229"/>
      <c r="MAT64" s="230"/>
      <c r="MAU64" s="231"/>
      <c r="MAV64" s="232"/>
      <c r="MAW64" s="233"/>
      <c r="MAX64" s="233"/>
      <c r="MAY64" s="233"/>
      <c r="MAZ64" s="233"/>
      <c r="MBA64" s="233"/>
      <c r="MBB64" s="233"/>
      <c r="MBC64" s="231"/>
      <c r="MBD64" s="231"/>
      <c r="MBE64" s="229"/>
      <c r="MBF64" s="230"/>
      <c r="MBG64" s="231"/>
      <c r="MBH64" s="232"/>
      <c r="MBI64" s="233"/>
      <c r="MBJ64" s="233"/>
      <c r="MBK64" s="233"/>
      <c r="MBL64" s="233"/>
      <c r="MBM64" s="233"/>
      <c r="MBN64" s="233"/>
      <c r="MBO64" s="231"/>
      <c r="MBP64" s="231"/>
      <c r="MBQ64" s="229"/>
      <c r="MBR64" s="230"/>
      <c r="MBS64" s="231"/>
      <c r="MBT64" s="232"/>
      <c r="MBU64" s="233"/>
      <c r="MBV64" s="233"/>
      <c r="MBW64" s="233"/>
      <c r="MBX64" s="233"/>
      <c r="MBY64" s="233"/>
      <c r="MBZ64" s="233"/>
      <c r="MCA64" s="231"/>
      <c r="MCB64" s="231"/>
      <c r="MCC64" s="229"/>
      <c r="MCD64" s="230"/>
      <c r="MCE64" s="231"/>
      <c r="MCF64" s="232"/>
      <c r="MCG64" s="233"/>
      <c r="MCH64" s="233"/>
      <c r="MCI64" s="233"/>
      <c r="MCJ64" s="233"/>
      <c r="MCK64" s="233"/>
      <c r="MCL64" s="233"/>
      <c r="MCM64" s="231"/>
      <c r="MCN64" s="231"/>
      <c r="MCO64" s="229"/>
      <c r="MCP64" s="230"/>
      <c r="MCQ64" s="231"/>
      <c r="MCR64" s="232"/>
      <c r="MCS64" s="233"/>
      <c r="MCT64" s="233"/>
      <c r="MCU64" s="233"/>
      <c r="MCV64" s="233"/>
      <c r="MCW64" s="233"/>
      <c r="MCX64" s="233"/>
      <c r="MCY64" s="231"/>
      <c r="MCZ64" s="231"/>
      <c r="MDA64" s="229"/>
      <c r="MDB64" s="230"/>
      <c r="MDC64" s="231"/>
      <c r="MDD64" s="232"/>
      <c r="MDE64" s="233"/>
      <c r="MDF64" s="233"/>
      <c r="MDG64" s="233"/>
      <c r="MDH64" s="233"/>
      <c r="MDI64" s="233"/>
      <c r="MDJ64" s="233"/>
      <c r="MDK64" s="231"/>
      <c r="MDL64" s="231"/>
      <c r="MDM64" s="229"/>
      <c r="MDN64" s="230"/>
      <c r="MDO64" s="231"/>
      <c r="MDP64" s="232"/>
      <c r="MDQ64" s="233"/>
      <c r="MDR64" s="233"/>
      <c r="MDS64" s="233"/>
      <c r="MDT64" s="233"/>
      <c r="MDU64" s="233"/>
      <c r="MDV64" s="233"/>
      <c r="MDW64" s="231"/>
      <c r="MDX64" s="231"/>
      <c r="MDY64" s="229"/>
      <c r="MDZ64" s="230"/>
      <c r="MEA64" s="231"/>
      <c r="MEB64" s="232"/>
      <c r="MEC64" s="233"/>
      <c r="MED64" s="233"/>
      <c r="MEE64" s="233"/>
      <c r="MEF64" s="233"/>
      <c r="MEG64" s="233"/>
      <c r="MEH64" s="233"/>
      <c r="MEI64" s="231"/>
      <c r="MEJ64" s="231"/>
      <c r="MEK64" s="229"/>
      <c r="MEL64" s="230"/>
      <c r="MEM64" s="231"/>
      <c r="MEN64" s="232"/>
      <c r="MEO64" s="233"/>
      <c r="MEP64" s="233"/>
      <c r="MEQ64" s="233"/>
      <c r="MER64" s="233"/>
      <c r="MES64" s="233"/>
      <c r="MET64" s="233"/>
      <c r="MEU64" s="231"/>
      <c r="MEV64" s="231"/>
      <c r="MEW64" s="229"/>
      <c r="MEX64" s="230"/>
      <c r="MEY64" s="231"/>
      <c r="MEZ64" s="232"/>
      <c r="MFA64" s="233"/>
      <c r="MFB64" s="233"/>
      <c r="MFC64" s="233"/>
      <c r="MFD64" s="233"/>
      <c r="MFE64" s="233"/>
      <c r="MFF64" s="233"/>
      <c r="MFG64" s="231"/>
      <c r="MFH64" s="231"/>
      <c r="MFI64" s="229"/>
      <c r="MFJ64" s="230"/>
      <c r="MFK64" s="231"/>
      <c r="MFL64" s="232"/>
      <c r="MFM64" s="233"/>
      <c r="MFN64" s="233"/>
      <c r="MFO64" s="233"/>
      <c r="MFP64" s="233"/>
      <c r="MFQ64" s="233"/>
      <c r="MFR64" s="233"/>
      <c r="MFS64" s="231"/>
      <c r="MFT64" s="231"/>
      <c r="MFU64" s="229"/>
      <c r="MFV64" s="230"/>
      <c r="MFW64" s="231"/>
      <c r="MFX64" s="232"/>
      <c r="MFY64" s="233"/>
      <c r="MFZ64" s="233"/>
      <c r="MGA64" s="233"/>
      <c r="MGB64" s="233"/>
      <c r="MGC64" s="233"/>
      <c r="MGD64" s="233"/>
      <c r="MGE64" s="231"/>
      <c r="MGF64" s="231"/>
      <c r="MGG64" s="229"/>
      <c r="MGH64" s="230"/>
      <c r="MGI64" s="231"/>
      <c r="MGJ64" s="232"/>
      <c r="MGK64" s="233"/>
      <c r="MGL64" s="233"/>
      <c r="MGM64" s="233"/>
      <c r="MGN64" s="233"/>
      <c r="MGO64" s="233"/>
      <c r="MGP64" s="233"/>
      <c r="MGQ64" s="231"/>
      <c r="MGR64" s="231"/>
      <c r="MGS64" s="229"/>
      <c r="MGT64" s="230"/>
      <c r="MGU64" s="231"/>
      <c r="MGV64" s="232"/>
      <c r="MGW64" s="233"/>
      <c r="MGX64" s="233"/>
      <c r="MGY64" s="233"/>
      <c r="MGZ64" s="233"/>
      <c r="MHA64" s="233"/>
      <c r="MHB64" s="233"/>
      <c r="MHC64" s="231"/>
      <c r="MHD64" s="231"/>
      <c r="MHE64" s="229"/>
      <c r="MHF64" s="230"/>
      <c r="MHG64" s="231"/>
      <c r="MHH64" s="232"/>
      <c r="MHI64" s="233"/>
      <c r="MHJ64" s="233"/>
      <c r="MHK64" s="233"/>
      <c r="MHL64" s="233"/>
      <c r="MHM64" s="233"/>
      <c r="MHN64" s="233"/>
      <c r="MHO64" s="231"/>
      <c r="MHP64" s="231"/>
      <c r="MHQ64" s="229"/>
      <c r="MHR64" s="230"/>
      <c r="MHS64" s="231"/>
      <c r="MHT64" s="232"/>
      <c r="MHU64" s="233"/>
      <c r="MHV64" s="233"/>
      <c r="MHW64" s="233"/>
      <c r="MHX64" s="233"/>
      <c r="MHY64" s="233"/>
      <c r="MHZ64" s="233"/>
      <c r="MIA64" s="231"/>
      <c r="MIB64" s="231"/>
      <c r="MIC64" s="229"/>
      <c r="MID64" s="230"/>
      <c r="MIE64" s="231"/>
      <c r="MIF64" s="232"/>
      <c r="MIG64" s="233"/>
      <c r="MIH64" s="233"/>
      <c r="MII64" s="233"/>
      <c r="MIJ64" s="233"/>
      <c r="MIK64" s="233"/>
      <c r="MIL64" s="233"/>
      <c r="MIM64" s="231"/>
      <c r="MIN64" s="231"/>
      <c r="MIO64" s="229"/>
      <c r="MIP64" s="230"/>
      <c r="MIQ64" s="231"/>
      <c r="MIR64" s="232"/>
      <c r="MIS64" s="233"/>
      <c r="MIT64" s="233"/>
      <c r="MIU64" s="233"/>
      <c r="MIV64" s="233"/>
      <c r="MIW64" s="233"/>
      <c r="MIX64" s="233"/>
      <c r="MIY64" s="231"/>
      <c r="MIZ64" s="231"/>
      <c r="MJA64" s="229"/>
      <c r="MJB64" s="230"/>
      <c r="MJC64" s="231"/>
      <c r="MJD64" s="232"/>
      <c r="MJE64" s="233"/>
      <c r="MJF64" s="233"/>
      <c r="MJG64" s="233"/>
      <c r="MJH64" s="233"/>
      <c r="MJI64" s="233"/>
      <c r="MJJ64" s="233"/>
      <c r="MJK64" s="231"/>
      <c r="MJL64" s="231"/>
      <c r="MJM64" s="229"/>
      <c r="MJN64" s="230"/>
      <c r="MJO64" s="231"/>
      <c r="MJP64" s="232"/>
      <c r="MJQ64" s="233"/>
      <c r="MJR64" s="233"/>
      <c r="MJS64" s="233"/>
      <c r="MJT64" s="233"/>
      <c r="MJU64" s="233"/>
      <c r="MJV64" s="233"/>
      <c r="MJW64" s="231"/>
      <c r="MJX64" s="231"/>
      <c r="MJY64" s="229"/>
      <c r="MJZ64" s="230"/>
      <c r="MKA64" s="231"/>
      <c r="MKB64" s="232"/>
      <c r="MKC64" s="233"/>
      <c r="MKD64" s="233"/>
      <c r="MKE64" s="233"/>
      <c r="MKF64" s="233"/>
      <c r="MKG64" s="233"/>
      <c r="MKH64" s="233"/>
      <c r="MKI64" s="231"/>
      <c r="MKJ64" s="231"/>
      <c r="MKK64" s="229"/>
      <c r="MKL64" s="230"/>
      <c r="MKM64" s="231"/>
      <c r="MKN64" s="232"/>
      <c r="MKO64" s="233"/>
      <c r="MKP64" s="233"/>
      <c r="MKQ64" s="233"/>
      <c r="MKR64" s="233"/>
      <c r="MKS64" s="233"/>
      <c r="MKT64" s="233"/>
      <c r="MKU64" s="231"/>
      <c r="MKV64" s="231"/>
      <c r="MKW64" s="229"/>
      <c r="MKX64" s="230"/>
      <c r="MKY64" s="231"/>
      <c r="MKZ64" s="232"/>
      <c r="MLA64" s="233"/>
      <c r="MLB64" s="233"/>
      <c r="MLC64" s="233"/>
      <c r="MLD64" s="233"/>
      <c r="MLE64" s="233"/>
      <c r="MLF64" s="233"/>
      <c r="MLG64" s="231"/>
      <c r="MLH64" s="231"/>
      <c r="MLI64" s="229"/>
      <c r="MLJ64" s="230"/>
      <c r="MLK64" s="231"/>
      <c r="MLL64" s="232"/>
      <c r="MLM64" s="233"/>
      <c r="MLN64" s="233"/>
      <c r="MLO64" s="233"/>
      <c r="MLP64" s="233"/>
      <c r="MLQ64" s="233"/>
      <c r="MLR64" s="233"/>
      <c r="MLS64" s="231"/>
      <c r="MLT64" s="231"/>
      <c r="MLU64" s="229"/>
      <c r="MLV64" s="230"/>
      <c r="MLW64" s="231"/>
      <c r="MLX64" s="232"/>
      <c r="MLY64" s="233"/>
      <c r="MLZ64" s="233"/>
      <c r="MMA64" s="233"/>
      <c r="MMB64" s="233"/>
      <c r="MMC64" s="233"/>
      <c r="MMD64" s="233"/>
      <c r="MME64" s="231"/>
      <c r="MMF64" s="231"/>
      <c r="MMG64" s="229"/>
      <c r="MMH64" s="230"/>
      <c r="MMI64" s="231"/>
      <c r="MMJ64" s="232"/>
      <c r="MMK64" s="233"/>
      <c r="MML64" s="233"/>
      <c r="MMM64" s="233"/>
      <c r="MMN64" s="233"/>
      <c r="MMO64" s="233"/>
      <c r="MMP64" s="233"/>
      <c r="MMQ64" s="231"/>
      <c r="MMR64" s="231"/>
      <c r="MMS64" s="229"/>
      <c r="MMT64" s="230"/>
      <c r="MMU64" s="231"/>
      <c r="MMV64" s="232"/>
      <c r="MMW64" s="233"/>
      <c r="MMX64" s="233"/>
      <c r="MMY64" s="233"/>
      <c r="MMZ64" s="233"/>
      <c r="MNA64" s="233"/>
      <c r="MNB64" s="233"/>
      <c r="MNC64" s="231"/>
      <c r="MND64" s="231"/>
      <c r="MNE64" s="229"/>
      <c r="MNF64" s="230"/>
      <c r="MNG64" s="231"/>
      <c r="MNH64" s="232"/>
      <c r="MNI64" s="233"/>
      <c r="MNJ64" s="233"/>
      <c r="MNK64" s="233"/>
      <c r="MNL64" s="233"/>
      <c r="MNM64" s="233"/>
      <c r="MNN64" s="233"/>
      <c r="MNO64" s="231"/>
      <c r="MNP64" s="231"/>
      <c r="MNQ64" s="229"/>
      <c r="MNR64" s="230"/>
      <c r="MNS64" s="231"/>
      <c r="MNT64" s="232"/>
      <c r="MNU64" s="233"/>
      <c r="MNV64" s="233"/>
      <c r="MNW64" s="233"/>
      <c r="MNX64" s="233"/>
      <c r="MNY64" s="233"/>
      <c r="MNZ64" s="233"/>
      <c r="MOA64" s="231"/>
      <c r="MOB64" s="231"/>
      <c r="MOC64" s="229"/>
      <c r="MOD64" s="230"/>
      <c r="MOE64" s="231"/>
      <c r="MOF64" s="232"/>
      <c r="MOG64" s="233"/>
      <c r="MOH64" s="233"/>
      <c r="MOI64" s="233"/>
      <c r="MOJ64" s="233"/>
      <c r="MOK64" s="233"/>
      <c r="MOL64" s="233"/>
      <c r="MOM64" s="231"/>
      <c r="MON64" s="231"/>
      <c r="MOO64" s="229"/>
      <c r="MOP64" s="230"/>
      <c r="MOQ64" s="231"/>
      <c r="MOR64" s="232"/>
      <c r="MOS64" s="233"/>
      <c r="MOT64" s="233"/>
      <c r="MOU64" s="233"/>
      <c r="MOV64" s="233"/>
      <c r="MOW64" s="233"/>
      <c r="MOX64" s="233"/>
      <c r="MOY64" s="231"/>
      <c r="MOZ64" s="231"/>
      <c r="MPA64" s="229"/>
      <c r="MPB64" s="230"/>
      <c r="MPC64" s="231"/>
      <c r="MPD64" s="232"/>
      <c r="MPE64" s="233"/>
      <c r="MPF64" s="233"/>
      <c r="MPG64" s="233"/>
      <c r="MPH64" s="233"/>
      <c r="MPI64" s="233"/>
      <c r="MPJ64" s="233"/>
      <c r="MPK64" s="231"/>
      <c r="MPL64" s="231"/>
      <c r="MPM64" s="229"/>
      <c r="MPN64" s="230"/>
      <c r="MPO64" s="231"/>
      <c r="MPP64" s="232"/>
      <c r="MPQ64" s="233"/>
      <c r="MPR64" s="233"/>
      <c r="MPS64" s="233"/>
      <c r="MPT64" s="233"/>
      <c r="MPU64" s="233"/>
      <c r="MPV64" s="233"/>
      <c r="MPW64" s="231"/>
      <c r="MPX64" s="231"/>
      <c r="MPY64" s="229"/>
      <c r="MPZ64" s="230"/>
      <c r="MQA64" s="231"/>
      <c r="MQB64" s="232"/>
      <c r="MQC64" s="233"/>
      <c r="MQD64" s="233"/>
      <c r="MQE64" s="233"/>
      <c r="MQF64" s="233"/>
      <c r="MQG64" s="233"/>
      <c r="MQH64" s="233"/>
      <c r="MQI64" s="231"/>
      <c r="MQJ64" s="231"/>
      <c r="MQK64" s="229"/>
      <c r="MQL64" s="230"/>
      <c r="MQM64" s="231"/>
      <c r="MQN64" s="232"/>
      <c r="MQO64" s="233"/>
      <c r="MQP64" s="233"/>
      <c r="MQQ64" s="233"/>
      <c r="MQR64" s="233"/>
      <c r="MQS64" s="233"/>
      <c r="MQT64" s="233"/>
      <c r="MQU64" s="231"/>
      <c r="MQV64" s="231"/>
      <c r="MQW64" s="229"/>
      <c r="MQX64" s="230"/>
      <c r="MQY64" s="231"/>
      <c r="MQZ64" s="232"/>
      <c r="MRA64" s="233"/>
      <c r="MRB64" s="233"/>
      <c r="MRC64" s="233"/>
      <c r="MRD64" s="233"/>
      <c r="MRE64" s="233"/>
      <c r="MRF64" s="233"/>
      <c r="MRG64" s="231"/>
      <c r="MRH64" s="231"/>
      <c r="MRI64" s="229"/>
      <c r="MRJ64" s="230"/>
      <c r="MRK64" s="231"/>
      <c r="MRL64" s="232"/>
      <c r="MRM64" s="233"/>
      <c r="MRN64" s="233"/>
      <c r="MRO64" s="233"/>
      <c r="MRP64" s="233"/>
      <c r="MRQ64" s="233"/>
      <c r="MRR64" s="233"/>
      <c r="MRS64" s="231"/>
      <c r="MRT64" s="231"/>
      <c r="MRU64" s="229"/>
      <c r="MRV64" s="230"/>
      <c r="MRW64" s="231"/>
      <c r="MRX64" s="232"/>
      <c r="MRY64" s="233"/>
      <c r="MRZ64" s="233"/>
      <c r="MSA64" s="233"/>
      <c r="MSB64" s="233"/>
      <c r="MSC64" s="233"/>
      <c r="MSD64" s="233"/>
      <c r="MSE64" s="231"/>
      <c r="MSF64" s="231"/>
      <c r="MSG64" s="229"/>
      <c r="MSH64" s="230"/>
      <c r="MSI64" s="231"/>
      <c r="MSJ64" s="232"/>
      <c r="MSK64" s="233"/>
      <c r="MSL64" s="233"/>
      <c r="MSM64" s="233"/>
      <c r="MSN64" s="233"/>
      <c r="MSO64" s="233"/>
      <c r="MSP64" s="233"/>
      <c r="MSQ64" s="231"/>
      <c r="MSR64" s="231"/>
      <c r="MSS64" s="229"/>
      <c r="MST64" s="230"/>
      <c r="MSU64" s="231"/>
      <c r="MSV64" s="232"/>
      <c r="MSW64" s="233"/>
      <c r="MSX64" s="233"/>
      <c r="MSY64" s="233"/>
      <c r="MSZ64" s="233"/>
      <c r="MTA64" s="233"/>
      <c r="MTB64" s="233"/>
      <c r="MTC64" s="231"/>
      <c r="MTD64" s="231"/>
      <c r="MTE64" s="229"/>
      <c r="MTF64" s="230"/>
      <c r="MTG64" s="231"/>
      <c r="MTH64" s="232"/>
      <c r="MTI64" s="233"/>
      <c r="MTJ64" s="233"/>
      <c r="MTK64" s="233"/>
      <c r="MTL64" s="233"/>
      <c r="MTM64" s="233"/>
      <c r="MTN64" s="233"/>
      <c r="MTO64" s="231"/>
      <c r="MTP64" s="231"/>
      <c r="MTQ64" s="229"/>
      <c r="MTR64" s="230"/>
      <c r="MTS64" s="231"/>
      <c r="MTT64" s="232"/>
      <c r="MTU64" s="233"/>
      <c r="MTV64" s="233"/>
      <c r="MTW64" s="233"/>
      <c r="MTX64" s="233"/>
      <c r="MTY64" s="233"/>
      <c r="MTZ64" s="233"/>
      <c r="MUA64" s="231"/>
      <c r="MUB64" s="231"/>
      <c r="MUC64" s="229"/>
      <c r="MUD64" s="230"/>
      <c r="MUE64" s="231"/>
      <c r="MUF64" s="232"/>
      <c r="MUG64" s="233"/>
      <c r="MUH64" s="233"/>
      <c r="MUI64" s="233"/>
      <c r="MUJ64" s="233"/>
      <c r="MUK64" s="233"/>
      <c r="MUL64" s="233"/>
      <c r="MUM64" s="231"/>
      <c r="MUN64" s="231"/>
      <c r="MUO64" s="229"/>
      <c r="MUP64" s="230"/>
      <c r="MUQ64" s="231"/>
      <c r="MUR64" s="232"/>
      <c r="MUS64" s="233"/>
      <c r="MUT64" s="233"/>
      <c r="MUU64" s="233"/>
      <c r="MUV64" s="233"/>
      <c r="MUW64" s="233"/>
      <c r="MUX64" s="233"/>
      <c r="MUY64" s="231"/>
      <c r="MUZ64" s="231"/>
      <c r="MVA64" s="229"/>
      <c r="MVB64" s="230"/>
      <c r="MVC64" s="231"/>
      <c r="MVD64" s="232"/>
      <c r="MVE64" s="233"/>
      <c r="MVF64" s="233"/>
      <c r="MVG64" s="233"/>
      <c r="MVH64" s="233"/>
      <c r="MVI64" s="233"/>
      <c r="MVJ64" s="233"/>
      <c r="MVK64" s="231"/>
      <c r="MVL64" s="231"/>
      <c r="MVM64" s="229"/>
      <c r="MVN64" s="230"/>
      <c r="MVO64" s="231"/>
      <c r="MVP64" s="232"/>
      <c r="MVQ64" s="233"/>
      <c r="MVR64" s="233"/>
      <c r="MVS64" s="233"/>
      <c r="MVT64" s="233"/>
      <c r="MVU64" s="233"/>
      <c r="MVV64" s="233"/>
      <c r="MVW64" s="231"/>
      <c r="MVX64" s="231"/>
      <c r="MVY64" s="229"/>
      <c r="MVZ64" s="230"/>
      <c r="MWA64" s="231"/>
      <c r="MWB64" s="232"/>
      <c r="MWC64" s="233"/>
      <c r="MWD64" s="233"/>
      <c r="MWE64" s="233"/>
      <c r="MWF64" s="233"/>
      <c r="MWG64" s="233"/>
      <c r="MWH64" s="233"/>
      <c r="MWI64" s="231"/>
      <c r="MWJ64" s="231"/>
      <c r="MWK64" s="229"/>
      <c r="MWL64" s="230"/>
      <c r="MWM64" s="231"/>
      <c r="MWN64" s="232"/>
      <c r="MWO64" s="233"/>
      <c r="MWP64" s="233"/>
      <c r="MWQ64" s="233"/>
      <c r="MWR64" s="233"/>
      <c r="MWS64" s="233"/>
      <c r="MWT64" s="233"/>
      <c r="MWU64" s="231"/>
      <c r="MWV64" s="231"/>
      <c r="MWW64" s="229"/>
      <c r="MWX64" s="230"/>
      <c r="MWY64" s="231"/>
      <c r="MWZ64" s="232"/>
      <c r="MXA64" s="233"/>
      <c r="MXB64" s="233"/>
      <c r="MXC64" s="233"/>
      <c r="MXD64" s="233"/>
      <c r="MXE64" s="233"/>
      <c r="MXF64" s="233"/>
      <c r="MXG64" s="231"/>
      <c r="MXH64" s="231"/>
      <c r="MXI64" s="229"/>
      <c r="MXJ64" s="230"/>
      <c r="MXK64" s="231"/>
      <c r="MXL64" s="232"/>
      <c r="MXM64" s="233"/>
      <c r="MXN64" s="233"/>
      <c r="MXO64" s="233"/>
      <c r="MXP64" s="233"/>
      <c r="MXQ64" s="233"/>
      <c r="MXR64" s="233"/>
      <c r="MXS64" s="231"/>
      <c r="MXT64" s="231"/>
      <c r="MXU64" s="229"/>
      <c r="MXV64" s="230"/>
      <c r="MXW64" s="231"/>
      <c r="MXX64" s="232"/>
      <c r="MXY64" s="233"/>
      <c r="MXZ64" s="233"/>
      <c r="MYA64" s="233"/>
      <c r="MYB64" s="233"/>
      <c r="MYC64" s="233"/>
      <c r="MYD64" s="233"/>
      <c r="MYE64" s="231"/>
      <c r="MYF64" s="231"/>
      <c r="MYG64" s="229"/>
      <c r="MYH64" s="230"/>
      <c r="MYI64" s="231"/>
      <c r="MYJ64" s="232"/>
      <c r="MYK64" s="233"/>
      <c r="MYL64" s="233"/>
      <c r="MYM64" s="233"/>
      <c r="MYN64" s="233"/>
      <c r="MYO64" s="233"/>
      <c r="MYP64" s="233"/>
      <c r="MYQ64" s="231"/>
      <c r="MYR64" s="231"/>
      <c r="MYS64" s="229"/>
      <c r="MYT64" s="230"/>
      <c r="MYU64" s="231"/>
      <c r="MYV64" s="232"/>
      <c r="MYW64" s="233"/>
      <c r="MYX64" s="233"/>
      <c r="MYY64" s="233"/>
      <c r="MYZ64" s="233"/>
      <c r="MZA64" s="233"/>
      <c r="MZB64" s="233"/>
      <c r="MZC64" s="231"/>
      <c r="MZD64" s="231"/>
      <c r="MZE64" s="229"/>
      <c r="MZF64" s="230"/>
      <c r="MZG64" s="231"/>
      <c r="MZH64" s="232"/>
      <c r="MZI64" s="233"/>
      <c r="MZJ64" s="233"/>
      <c r="MZK64" s="233"/>
      <c r="MZL64" s="233"/>
      <c r="MZM64" s="233"/>
      <c r="MZN64" s="233"/>
      <c r="MZO64" s="231"/>
      <c r="MZP64" s="231"/>
      <c r="MZQ64" s="229"/>
      <c r="MZR64" s="230"/>
      <c r="MZS64" s="231"/>
      <c r="MZT64" s="232"/>
      <c r="MZU64" s="233"/>
      <c r="MZV64" s="233"/>
      <c r="MZW64" s="233"/>
      <c r="MZX64" s="233"/>
      <c r="MZY64" s="233"/>
      <c r="MZZ64" s="233"/>
      <c r="NAA64" s="231"/>
      <c r="NAB64" s="231"/>
      <c r="NAC64" s="229"/>
      <c r="NAD64" s="230"/>
      <c r="NAE64" s="231"/>
      <c r="NAF64" s="232"/>
      <c r="NAG64" s="233"/>
      <c r="NAH64" s="233"/>
      <c r="NAI64" s="233"/>
      <c r="NAJ64" s="233"/>
      <c r="NAK64" s="233"/>
      <c r="NAL64" s="233"/>
      <c r="NAM64" s="231"/>
      <c r="NAN64" s="231"/>
      <c r="NAO64" s="229"/>
      <c r="NAP64" s="230"/>
      <c r="NAQ64" s="231"/>
      <c r="NAR64" s="232"/>
      <c r="NAS64" s="233"/>
      <c r="NAT64" s="233"/>
      <c r="NAU64" s="233"/>
      <c r="NAV64" s="233"/>
      <c r="NAW64" s="233"/>
      <c r="NAX64" s="233"/>
      <c r="NAY64" s="231"/>
      <c r="NAZ64" s="231"/>
      <c r="NBA64" s="229"/>
      <c r="NBB64" s="230"/>
      <c r="NBC64" s="231"/>
      <c r="NBD64" s="232"/>
      <c r="NBE64" s="233"/>
      <c r="NBF64" s="233"/>
      <c r="NBG64" s="233"/>
      <c r="NBH64" s="233"/>
      <c r="NBI64" s="233"/>
      <c r="NBJ64" s="233"/>
      <c r="NBK64" s="231"/>
      <c r="NBL64" s="231"/>
      <c r="NBM64" s="229"/>
      <c r="NBN64" s="230"/>
      <c r="NBO64" s="231"/>
      <c r="NBP64" s="232"/>
      <c r="NBQ64" s="233"/>
      <c r="NBR64" s="233"/>
      <c r="NBS64" s="233"/>
      <c r="NBT64" s="233"/>
      <c r="NBU64" s="233"/>
      <c r="NBV64" s="233"/>
      <c r="NBW64" s="231"/>
      <c r="NBX64" s="231"/>
      <c r="NBY64" s="229"/>
      <c r="NBZ64" s="230"/>
      <c r="NCA64" s="231"/>
      <c r="NCB64" s="232"/>
      <c r="NCC64" s="233"/>
      <c r="NCD64" s="233"/>
      <c r="NCE64" s="233"/>
      <c r="NCF64" s="233"/>
      <c r="NCG64" s="233"/>
      <c r="NCH64" s="233"/>
      <c r="NCI64" s="231"/>
      <c r="NCJ64" s="231"/>
      <c r="NCK64" s="229"/>
      <c r="NCL64" s="230"/>
      <c r="NCM64" s="231"/>
      <c r="NCN64" s="232"/>
      <c r="NCO64" s="233"/>
      <c r="NCP64" s="233"/>
      <c r="NCQ64" s="233"/>
      <c r="NCR64" s="233"/>
      <c r="NCS64" s="233"/>
      <c r="NCT64" s="233"/>
      <c r="NCU64" s="231"/>
      <c r="NCV64" s="231"/>
      <c r="NCW64" s="229"/>
      <c r="NCX64" s="230"/>
      <c r="NCY64" s="231"/>
      <c r="NCZ64" s="232"/>
      <c r="NDA64" s="233"/>
      <c r="NDB64" s="233"/>
      <c r="NDC64" s="233"/>
      <c r="NDD64" s="233"/>
      <c r="NDE64" s="233"/>
      <c r="NDF64" s="233"/>
      <c r="NDG64" s="231"/>
      <c r="NDH64" s="231"/>
      <c r="NDI64" s="229"/>
      <c r="NDJ64" s="230"/>
      <c r="NDK64" s="231"/>
      <c r="NDL64" s="232"/>
      <c r="NDM64" s="233"/>
      <c r="NDN64" s="233"/>
      <c r="NDO64" s="233"/>
      <c r="NDP64" s="233"/>
      <c r="NDQ64" s="233"/>
      <c r="NDR64" s="233"/>
      <c r="NDS64" s="231"/>
      <c r="NDT64" s="231"/>
      <c r="NDU64" s="229"/>
      <c r="NDV64" s="230"/>
      <c r="NDW64" s="231"/>
      <c r="NDX64" s="232"/>
      <c r="NDY64" s="233"/>
      <c r="NDZ64" s="233"/>
      <c r="NEA64" s="233"/>
      <c r="NEB64" s="233"/>
      <c r="NEC64" s="233"/>
      <c r="NED64" s="233"/>
      <c r="NEE64" s="231"/>
      <c r="NEF64" s="231"/>
      <c r="NEG64" s="229"/>
      <c r="NEH64" s="230"/>
      <c r="NEI64" s="231"/>
      <c r="NEJ64" s="232"/>
      <c r="NEK64" s="233"/>
      <c r="NEL64" s="233"/>
      <c r="NEM64" s="233"/>
      <c r="NEN64" s="233"/>
      <c r="NEO64" s="233"/>
      <c r="NEP64" s="233"/>
      <c r="NEQ64" s="231"/>
      <c r="NER64" s="231"/>
      <c r="NES64" s="229"/>
      <c r="NET64" s="230"/>
      <c r="NEU64" s="231"/>
      <c r="NEV64" s="232"/>
      <c r="NEW64" s="233"/>
      <c r="NEX64" s="233"/>
      <c r="NEY64" s="233"/>
      <c r="NEZ64" s="233"/>
      <c r="NFA64" s="233"/>
      <c r="NFB64" s="233"/>
      <c r="NFC64" s="231"/>
      <c r="NFD64" s="231"/>
      <c r="NFE64" s="229"/>
      <c r="NFF64" s="230"/>
      <c r="NFG64" s="231"/>
      <c r="NFH64" s="232"/>
      <c r="NFI64" s="233"/>
      <c r="NFJ64" s="233"/>
      <c r="NFK64" s="233"/>
      <c r="NFL64" s="233"/>
      <c r="NFM64" s="233"/>
      <c r="NFN64" s="233"/>
      <c r="NFO64" s="231"/>
      <c r="NFP64" s="231"/>
      <c r="NFQ64" s="229"/>
      <c r="NFR64" s="230"/>
      <c r="NFS64" s="231"/>
      <c r="NFT64" s="232"/>
      <c r="NFU64" s="233"/>
      <c r="NFV64" s="233"/>
      <c r="NFW64" s="233"/>
      <c r="NFX64" s="233"/>
      <c r="NFY64" s="233"/>
      <c r="NFZ64" s="233"/>
      <c r="NGA64" s="231"/>
      <c r="NGB64" s="231"/>
      <c r="NGC64" s="229"/>
      <c r="NGD64" s="230"/>
      <c r="NGE64" s="231"/>
      <c r="NGF64" s="232"/>
      <c r="NGG64" s="233"/>
      <c r="NGH64" s="233"/>
      <c r="NGI64" s="233"/>
      <c r="NGJ64" s="233"/>
      <c r="NGK64" s="233"/>
      <c r="NGL64" s="233"/>
      <c r="NGM64" s="231"/>
      <c r="NGN64" s="231"/>
      <c r="NGO64" s="229"/>
      <c r="NGP64" s="230"/>
      <c r="NGQ64" s="231"/>
      <c r="NGR64" s="232"/>
      <c r="NGS64" s="233"/>
      <c r="NGT64" s="233"/>
      <c r="NGU64" s="233"/>
      <c r="NGV64" s="233"/>
      <c r="NGW64" s="233"/>
      <c r="NGX64" s="233"/>
      <c r="NGY64" s="231"/>
      <c r="NGZ64" s="231"/>
      <c r="NHA64" s="229"/>
      <c r="NHB64" s="230"/>
      <c r="NHC64" s="231"/>
      <c r="NHD64" s="232"/>
      <c r="NHE64" s="233"/>
      <c r="NHF64" s="233"/>
      <c r="NHG64" s="233"/>
      <c r="NHH64" s="233"/>
      <c r="NHI64" s="233"/>
      <c r="NHJ64" s="233"/>
      <c r="NHK64" s="231"/>
      <c r="NHL64" s="231"/>
      <c r="NHM64" s="229"/>
      <c r="NHN64" s="230"/>
      <c r="NHO64" s="231"/>
      <c r="NHP64" s="232"/>
      <c r="NHQ64" s="233"/>
      <c r="NHR64" s="233"/>
      <c r="NHS64" s="233"/>
      <c r="NHT64" s="233"/>
      <c r="NHU64" s="233"/>
      <c r="NHV64" s="233"/>
      <c r="NHW64" s="231"/>
      <c r="NHX64" s="231"/>
      <c r="NHY64" s="229"/>
      <c r="NHZ64" s="230"/>
      <c r="NIA64" s="231"/>
      <c r="NIB64" s="232"/>
      <c r="NIC64" s="233"/>
      <c r="NID64" s="233"/>
      <c r="NIE64" s="233"/>
      <c r="NIF64" s="233"/>
      <c r="NIG64" s="233"/>
      <c r="NIH64" s="233"/>
      <c r="NII64" s="231"/>
      <c r="NIJ64" s="231"/>
      <c r="NIK64" s="229"/>
      <c r="NIL64" s="230"/>
      <c r="NIM64" s="231"/>
      <c r="NIN64" s="232"/>
      <c r="NIO64" s="233"/>
      <c r="NIP64" s="233"/>
      <c r="NIQ64" s="233"/>
      <c r="NIR64" s="233"/>
      <c r="NIS64" s="233"/>
      <c r="NIT64" s="233"/>
      <c r="NIU64" s="231"/>
      <c r="NIV64" s="231"/>
      <c r="NIW64" s="229"/>
      <c r="NIX64" s="230"/>
      <c r="NIY64" s="231"/>
      <c r="NIZ64" s="232"/>
      <c r="NJA64" s="233"/>
      <c r="NJB64" s="233"/>
      <c r="NJC64" s="233"/>
      <c r="NJD64" s="233"/>
      <c r="NJE64" s="233"/>
      <c r="NJF64" s="233"/>
      <c r="NJG64" s="231"/>
      <c r="NJH64" s="231"/>
      <c r="NJI64" s="229"/>
      <c r="NJJ64" s="230"/>
      <c r="NJK64" s="231"/>
      <c r="NJL64" s="232"/>
      <c r="NJM64" s="233"/>
      <c r="NJN64" s="233"/>
      <c r="NJO64" s="233"/>
      <c r="NJP64" s="233"/>
      <c r="NJQ64" s="233"/>
      <c r="NJR64" s="233"/>
      <c r="NJS64" s="231"/>
      <c r="NJT64" s="231"/>
      <c r="NJU64" s="229"/>
      <c r="NJV64" s="230"/>
      <c r="NJW64" s="231"/>
      <c r="NJX64" s="232"/>
      <c r="NJY64" s="233"/>
      <c r="NJZ64" s="233"/>
      <c r="NKA64" s="233"/>
      <c r="NKB64" s="233"/>
      <c r="NKC64" s="233"/>
      <c r="NKD64" s="233"/>
      <c r="NKE64" s="231"/>
      <c r="NKF64" s="231"/>
      <c r="NKG64" s="229"/>
      <c r="NKH64" s="230"/>
      <c r="NKI64" s="231"/>
      <c r="NKJ64" s="232"/>
      <c r="NKK64" s="233"/>
      <c r="NKL64" s="233"/>
      <c r="NKM64" s="233"/>
      <c r="NKN64" s="233"/>
      <c r="NKO64" s="233"/>
      <c r="NKP64" s="233"/>
      <c r="NKQ64" s="231"/>
      <c r="NKR64" s="231"/>
      <c r="NKS64" s="229"/>
      <c r="NKT64" s="230"/>
      <c r="NKU64" s="231"/>
      <c r="NKV64" s="232"/>
      <c r="NKW64" s="233"/>
      <c r="NKX64" s="233"/>
      <c r="NKY64" s="233"/>
      <c r="NKZ64" s="233"/>
      <c r="NLA64" s="233"/>
      <c r="NLB64" s="233"/>
      <c r="NLC64" s="231"/>
      <c r="NLD64" s="231"/>
      <c r="NLE64" s="229"/>
      <c r="NLF64" s="230"/>
      <c r="NLG64" s="231"/>
      <c r="NLH64" s="232"/>
      <c r="NLI64" s="233"/>
      <c r="NLJ64" s="233"/>
      <c r="NLK64" s="233"/>
      <c r="NLL64" s="233"/>
      <c r="NLM64" s="233"/>
      <c r="NLN64" s="233"/>
      <c r="NLO64" s="231"/>
      <c r="NLP64" s="231"/>
      <c r="NLQ64" s="229"/>
      <c r="NLR64" s="230"/>
      <c r="NLS64" s="231"/>
      <c r="NLT64" s="232"/>
      <c r="NLU64" s="233"/>
      <c r="NLV64" s="233"/>
      <c r="NLW64" s="233"/>
      <c r="NLX64" s="233"/>
      <c r="NLY64" s="233"/>
      <c r="NLZ64" s="233"/>
      <c r="NMA64" s="231"/>
      <c r="NMB64" s="231"/>
      <c r="NMC64" s="229"/>
      <c r="NMD64" s="230"/>
      <c r="NME64" s="231"/>
      <c r="NMF64" s="232"/>
      <c r="NMG64" s="233"/>
      <c r="NMH64" s="233"/>
      <c r="NMI64" s="233"/>
      <c r="NMJ64" s="233"/>
      <c r="NMK64" s="233"/>
      <c r="NML64" s="233"/>
      <c r="NMM64" s="231"/>
      <c r="NMN64" s="231"/>
      <c r="NMO64" s="229"/>
      <c r="NMP64" s="230"/>
      <c r="NMQ64" s="231"/>
      <c r="NMR64" s="232"/>
      <c r="NMS64" s="233"/>
      <c r="NMT64" s="233"/>
      <c r="NMU64" s="233"/>
      <c r="NMV64" s="233"/>
      <c r="NMW64" s="233"/>
      <c r="NMX64" s="233"/>
      <c r="NMY64" s="231"/>
      <c r="NMZ64" s="231"/>
      <c r="NNA64" s="229"/>
      <c r="NNB64" s="230"/>
      <c r="NNC64" s="231"/>
      <c r="NND64" s="232"/>
      <c r="NNE64" s="233"/>
      <c r="NNF64" s="233"/>
      <c r="NNG64" s="233"/>
      <c r="NNH64" s="233"/>
      <c r="NNI64" s="233"/>
      <c r="NNJ64" s="233"/>
      <c r="NNK64" s="231"/>
      <c r="NNL64" s="231"/>
      <c r="NNM64" s="229"/>
      <c r="NNN64" s="230"/>
      <c r="NNO64" s="231"/>
      <c r="NNP64" s="232"/>
      <c r="NNQ64" s="233"/>
      <c r="NNR64" s="233"/>
      <c r="NNS64" s="233"/>
      <c r="NNT64" s="233"/>
      <c r="NNU64" s="233"/>
      <c r="NNV64" s="233"/>
      <c r="NNW64" s="231"/>
      <c r="NNX64" s="231"/>
      <c r="NNY64" s="229"/>
      <c r="NNZ64" s="230"/>
      <c r="NOA64" s="231"/>
      <c r="NOB64" s="232"/>
      <c r="NOC64" s="233"/>
      <c r="NOD64" s="233"/>
      <c r="NOE64" s="233"/>
      <c r="NOF64" s="233"/>
      <c r="NOG64" s="233"/>
      <c r="NOH64" s="233"/>
      <c r="NOI64" s="231"/>
      <c r="NOJ64" s="231"/>
      <c r="NOK64" s="229"/>
      <c r="NOL64" s="230"/>
      <c r="NOM64" s="231"/>
      <c r="NON64" s="232"/>
      <c r="NOO64" s="233"/>
      <c r="NOP64" s="233"/>
      <c r="NOQ64" s="233"/>
      <c r="NOR64" s="233"/>
      <c r="NOS64" s="233"/>
      <c r="NOT64" s="233"/>
      <c r="NOU64" s="231"/>
      <c r="NOV64" s="231"/>
      <c r="NOW64" s="229"/>
      <c r="NOX64" s="230"/>
      <c r="NOY64" s="231"/>
      <c r="NOZ64" s="232"/>
      <c r="NPA64" s="233"/>
      <c r="NPB64" s="233"/>
      <c r="NPC64" s="233"/>
      <c r="NPD64" s="233"/>
      <c r="NPE64" s="233"/>
      <c r="NPF64" s="233"/>
      <c r="NPG64" s="231"/>
      <c r="NPH64" s="231"/>
      <c r="NPI64" s="229"/>
      <c r="NPJ64" s="230"/>
      <c r="NPK64" s="231"/>
      <c r="NPL64" s="232"/>
      <c r="NPM64" s="233"/>
      <c r="NPN64" s="233"/>
      <c r="NPO64" s="233"/>
      <c r="NPP64" s="233"/>
      <c r="NPQ64" s="233"/>
      <c r="NPR64" s="233"/>
      <c r="NPS64" s="231"/>
      <c r="NPT64" s="231"/>
      <c r="NPU64" s="229"/>
      <c r="NPV64" s="230"/>
      <c r="NPW64" s="231"/>
      <c r="NPX64" s="232"/>
      <c r="NPY64" s="233"/>
      <c r="NPZ64" s="233"/>
      <c r="NQA64" s="233"/>
      <c r="NQB64" s="233"/>
      <c r="NQC64" s="233"/>
      <c r="NQD64" s="233"/>
      <c r="NQE64" s="231"/>
      <c r="NQF64" s="231"/>
      <c r="NQG64" s="229"/>
      <c r="NQH64" s="230"/>
      <c r="NQI64" s="231"/>
      <c r="NQJ64" s="232"/>
      <c r="NQK64" s="233"/>
      <c r="NQL64" s="233"/>
      <c r="NQM64" s="233"/>
      <c r="NQN64" s="233"/>
      <c r="NQO64" s="233"/>
      <c r="NQP64" s="233"/>
      <c r="NQQ64" s="231"/>
      <c r="NQR64" s="231"/>
      <c r="NQS64" s="229"/>
      <c r="NQT64" s="230"/>
      <c r="NQU64" s="231"/>
      <c r="NQV64" s="232"/>
      <c r="NQW64" s="233"/>
      <c r="NQX64" s="233"/>
      <c r="NQY64" s="233"/>
      <c r="NQZ64" s="233"/>
      <c r="NRA64" s="233"/>
      <c r="NRB64" s="233"/>
      <c r="NRC64" s="231"/>
      <c r="NRD64" s="231"/>
      <c r="NRE64" s="229"/>
      <c r="NRF64" s="230"/>
      <c r="NRG64" s="231"/>
      <c r="NRH64" s="232"/>
      <c r="NRI64" s="233"/>
      <c r="NRJ64" s="233"/>
      <c r="NRK64" s="233"/>
      <c r="NRL64" s="233"/>
      <c r="NRM64" s="233"/>
      <c r="NRN64" s="233"/>
      <c r="NRO64" s="231"/>
      <c r="NRP64" s="231"/>
      <c r="NRQ64" s="229"/>
      <c r="NRR64" s="230"/>
      <c r="NRS64" s="231"/>
      <c r="NRT64" s="232"/>
      <c r="NRU64" s="233"/>
      <c r="NRV64" s="233"/>
      <c r="NRW64" s="233"/>
      <c r="NRX64" s="233"/>
      <c r="NRY64" s="233"/>
      <c r="NRZ64" s="233"/>
      <c r="NSA64" s="231"/>
      <c r="NSB64" s="231"/>
      <c r="NSC64" s="229"/>
      <c r="NSD64" s="230"/>
      <c r="NSE64" s="231"/>
      <c r="NSF64" s="232"/>
      <c r="NSG64" s="233"/>
      <c r="NSH64" s="233"/>
      <c r="NSI64" s="233"/>
      <c r="NSJ64" s="233"/>
      <c r="NSK64" s="233"/>
      <c r="NSL64" s="233"/>
      <c r="NSM64" s="231"/>
      <c r="NSN64" s="231"/>
      <c r="NSO64" s="229"/>
      <c r="NSP64" s="230"/>
      <c r="NSQ64" s="231"/>
      <c r="NSR64" s="232"/>
      <c r="NSS64" s="233"/>
      <c r="NST64" s="233"/>
      <c r="NSU64" s="233"/>
      <c r="NSV64" s="233"/>
      <c r="NSW64" s="233"/>
      <c r="NSX64" s="233"/>
      <c r="NSY64" s="231"/>
      <c r="NSZ64" s="231"/>
      <c r="NTA64" s="229"/>
      <c r="NTB64" s="230"/>
      <c r="NTC64" s="231"/>
      <c r="NTD64" s="232"/>
      <c r="NTE64" s="233"/>
      <c r="NTF64" s="233"/>
      <c r="NTG64" s="233"/>
      <c r="NTH64" s="233"/>
      <c r="NTI64" s="233"/>
      <c r="NTJ64" s="233"/>
      <c r="NTK64" s="231"/>
      <c r="NTL64" s="231"/>
      <c r="NTM64" s="229"/>
      <c r="NTN64" s="230"/>
      <c r="NTO64" s="231"/>
      <c r="NTP64" s="232"/>
      <c r="NTQ64" s="233"/>
      <c r="NTR64" s="233"/>
      <c r="NTS64" s="233"/>
      <c r="NTT64" s="233"/>
      <c r="NTU64" s="233"/>
      <c r="NTV64" s="233"/>
      <c r="NTW64" s="231"/>
      <c r="NTX64" s="231"/>
      <c r="NTY64" s="229"/>
      <c r="NTZ64" s="230"/>
      <c r="NUA64" s="231"/>
      <c r="NUB64" s="232"/>
      <c r="NUC64" s="233"/>
      <c r="NUD64" s="233"/>
      <c r="NUE64" s="233"/>
      <c r="NUF64" s="233"/>
      <c r="NUG64" s="233"/>
      <c r="NUH64" s="233"/>
      <c r="NUI64" s="231"/>
      <c r="NUJ64" s="231"/>
      <c r="NUK64" s="229"/>
      <c r="NUL64" s="230"/>
      <c r="NUM64" s="231"/>
      <c r="NUN64" s="232"/>
      <c r="NUO64" s="233"/>
      <c r="NUP64" s="233"/>
      <c r="NUQ64" s="233"/>
      <c r="NUR64" s="233"/>
      <c r="NUS64" s="233"/>
      <c r="NUT64" s="233"/>
      <c r="NUU64" s="231"/>
      <c r="NUV64" s="231"/>
      <c r="NUW64" s="229"/>
      <c r="NUX64" s="230"/>
      <c r="NUY64" s="231"/>
      <c r="NUZ64" s="232"/>
      <c r="NVA64" s="233"/>
      <c r="NVB64" s="233"/>
      <c r="NVC64" s="233"/>
      <c r="NVD64" s="233"/>
      <c r="NVE64" s="233"/>
      <c r="NVF64" s="233"/>
      <c r="NVG64" s="231"/>
      <c r="NVH64" s="231"/>
      <c r="NVI64" s="229"/>
      <c r="NVJ64" s="230"/>
      <c r="NVK64" s="231"/>
      <c r="NVL64" s="232"/>
      <c r="NVM64" s="233"/>
      <c r="NVN64" s="233"/>
      <c r="NVO64" s="233"/>
      <c r="NVP64" s="233"/>
      <c r="NVQ64" s="233"/>
      <c r="NVR64" s="233"/>
      <c r="NVS64" s="231"/>
      <c r="NVT64" s="231"/>
      <c r="NVU64" s="229"/>
      <c r="NVV64" s="230"/>
      <c r="NVW64" s="231"/>
      <c r="NVX64" s="232"/>
      <c r="NVY64" s="233"/>
      <c r="NVZ64" s="233"/>
      <c r="NWA64" s="233"/>
      <c r="NWB64" s="233"/>
      <c r="NWC64" s="233"/>
      <c r="NWD64" s="233"/>
      <c r="NWE64" s="231"/>
      <c r="NWF64" s="231"/>
      <c r="NWG64" s="229"/>
      <c r="NWH64" s="230"/>
      <c r="NWI64" s="231"/>
      <c r="NWJ64" s="232"/>
      <c r="NWK64" s="233"/>
      <c r="NWL64" s="233"/>
      <c r="NWM64" s="233"/>
      <c r="NWN64" s="233"/>
      <c r="NWO64" s="233"/>
      <c r="NWP64" s="233"/>
      <c r="NWQ64" s="231"/>
      <c r="NWR64" s="231"/>
      <c r="NWS64" s="229"/>
      <c r="NWT64" s="230"/>
      <c r="NWU64" s="231"/>
      <c r="NWV64" s="232"/>
      <c r="NWW64" s="233"/>
      <c r="NWX64" s="233"/>
      <c r="NWY64" s="233"/>
      <c r="NWZ64" s="233"/>
      <c r="NXA64" s="233"/>
      <c r="NXB64" s="233"/>
      <c r="NXC64" s="231"/>
      <c r="NXD64" s="231"/>
      <c r="NXE64" s="229"/>
      <c r="NXF64" s="230"/>
      <c r="NXG64" s="231"/>
      <c r="NXH64" s="232"/>
      <c r="NXI64" s="233"/>
      <c r="NXJ64" s="233"/>
      <c r="NXK64" s="233"/>
      <c r="NXL64" s="233"/>
      <c r="NXM64" s="233"/>
      <c r="NXN64" s="233"/>
      <c r="NXO64" s="231"/>
      <c r="NXP64" s="231"/>
      <c r="NXQ64" s="229"/>
      <c r="NXR64" s="230"/>
      <c r="NXS64" s="231"/>
      <c r="NXT64" s="232"/>
      <c r="NXU64" s="233"/>
      <c r="NXV64" s="233"/>
      <c r="NXW64" s="233"/>
      <c r="NXX64" s="233"/>
      <c r="NXY64" s="233"/>
      <c r="NXZ64" s="233"/>
      <c r="NYA64" s="231"/>
      <c r="NYB64" s="231"/>
      <c r="NYC64" s="229"/>
      <c r="NYD64" s="230"/>
      <c r="NYE64" s="231"/>
      <c r="NYF64" s="232"/>
      <c r="NYG64" s="233"/>
      <c r="NYH64" s="233"/>
      <c r="NYI64" s="233"/>
      <c r="NYJ64" s="233"/>
      <c r="NYK64" s="233"/>
      <c r="NYL64" s="233"/>
      <c r="NYM64" s="231"/>
      <c r="NYN64" s="231"/>
      <c r="NYO64" s="229"/>
      <c r="NYP64" s="230"/>
      <c r="NYQ64" s="231"/>
      <c r="NYR64" s="232"/>
      <c r="NYS64" s="233"/>
      <c r="NYT64" s="233"/>
      <c r="NYU64" s="233"/>
      <c r="NYV64" s="233"/>
      <c r="NYW64" s="233"/>
      <c r="NYX64" s="233"/>
      <c r="NYY64" s="231"/>
      <c r="NYZ64" s="231"/>
      <c r="NZA64" s="229"/>
      <c r="NZB64" s="230"/>
      <c r="NZC64" s="231"/>
      <c r="NZD64" s="232"/>
      <c r="NZE64" s="233"/>
      <c r="NZF64" s="233"/>
      <c r="NZG64" s="233"/>
      <c r="NZH64" s="233"/>
      <c r="NZI64" s="233"/>
      <c r="NZJ64" s="233"/>
      <c r="NZK64" s="231"/>
      <c r="NZL64" s="231"/>
      <c r="NZM64" s="229"/>
      <c r="NZN64" s="230"/>
      <c r="NZO64" s="231"/>
      <c r="NZP64" s="232"/>
      <c r="NZQ64" s="233"/>
      <c r="NZR64" s="233"/>
      <c r="NZS64" s="233"/>
      <c r="NZT64" s="233"/>
      <c r="NZU64" s="233"/>
      <c r="NZV64" s="233"/>
      <c r="NZW64" s="231"/>
      <c r="NZX64" s="231"/>
      <c r="NZY64" s="229"/>
      <c r="NZZ64" s="230"/>
      <c r="OAA64" s="231"/>
      <c r="OAB64" s="232"/>
      <c r="OAC64" s="233"/>
      <c r="OAD64" s="233"/>
      <c r="OAE64" s="233"/>
      <c r="OAF64" s="233"/>
      <c r="OAG64" s="233"/>
      <c r="OAH64" s="233"/>
      <c r="OAI64" s="231"/>
      <c r="OAJ64" s="231"/>
      <c r="OAK64" s="229"/>
      <c r="OAL64" s="230"/>
      <c r="OAM64" s="231"/>
      <c r="OAN64" s="232"/>
      <c r="OAO64" s="233"/>
      <c r="OAP64" s="233"/>
      <c r="OAQ64" s="233"/>
      <c r="OAR64" s="233"/>
      <c r="OAS64" s="233"/>
      <c r="OAT64" s="233"/>
      <c r="OAU64" s="231"/>
      <c r="OAV64" s="231"/>
      <c r="OAW64" s="229"/>
      <c r="OAX64" s="230"/>
      <c r="OAY64" s="231"/>
      <c r="OAZ64" s="232"/>
      <c r="OBA64" s="233"/>
      <c r="OBB64" s="233"/>
      <c r="OBC64" s="233"/>
      <c r="OBD64" s="233"/>
      <c r="OBE64" s="233"/>
      <c r="OBF64" s="233"/>
      <c r="OBG64" s="231"/>
      <c r="OBH64" s="231"/>
      <c r="OBI64" s="229"/>
      <c r="OBJ64" s="230"/>
      <c r="OBK64" s="231"/>
      <c r="OBL64" s="232"/>
      <c r="OBM64" s="233"/>
      <c r="OBN64" s="233"/>
      <c r="OBO64" s="233"/>
      <c r="OBP64" s="233"/>
      <c r="OBQ64" s="233"/>
      <c r="OBR64" s="233"/>
      <c r="OBS64" s="231"/>
      <c r="OBT64" s="231"/>
      <c r="OBU64" s="229"/>
      <c r="OBV64" s="230"/>
      <c r="OBW64" s="231"/>
      <c r="OBX64" s="232"/>
      <c r="OBY64" s="233"/>
      <c r="OBZ64" s="233"/>
      <c r="OCA64" s="233"/>
      <c r="OCB64" s="233"/>
      <c r="OCC64" s="233"/>
      <c r="OCD64" s="233"/>
      <c r="OCE64" s="231"/>
      <c r="OCF64" s="231"/>
      <c r="OCG64" s="229"/>
      <c r="OCH64" s="230"/>
      <c r="OCI64" s="231"/>
      <c r="OCJ64" s="232"/>
      <c r="OCK64" s="233"/>
      <c r="OCL64" s="233"/>
      <c r="OCM64" s="233"/>
      <c r="OCN64" s="233"/>
      <c r="OCO64" s="233"/>
      <c r="OCP64" s="233"/>
      <c r="OCQ64" s="231"/>
      <c r="OCR64" s="231"/>
      <c r="OCS64" s="229"/>
      <c r="OCT64" s="230"/>
      <c r="OCU64" s="231"/>
      <c r="OCV64" s="232"/>
      <c r="OCW64" s="233"/>
      <c r="OCX64" s="233"/>
      <c r="OCY64" s="233"/>
      <c r="OCZ64" s="233"/>
      <c r="ODA64" s="233"/>
      <c r="ODB64" s="233"/>
      <c r="ODC64" s="231"/>
      <c r="ODD64" s="231"/>
      <c r="ODE64" s="229"/>
      <c r="ODF64" s="230"/>
      <c r="ODG64" s="231"/>
      <c r="ODH64" s="232"/>
      <c r="ODI64" s="233"/>
      <c r="ODJ64" s="233"/>
      <c r="ODK64" s="233"/>
      <c r="ODL64" s="233"/>
      <c r="ODM64" s="233"/>
      <c r="ODN64" s="233"/>
      <c r="ODO64" s="231"/>
      <c r="ODP64" s="231"/>
      <c r="ODQ64" s="229"/>
      <c r="ODR64" s="230"/>
      <c r="ODS64" s="231"/>
      <c r="ODT64" s="232"/>
      <c r="ODU64" s="233"/>
      <c r="ODV64" s="233"/>
      <c r="ODW64" s="233"/>
      <c r="ODX64" s="233"/>
      <c r="ODY64" s="233"/>
      <c r="ODZ64" s="233"/>
      <c r="OEA64" s="231"/>
      <c r="OEB64" s="231"/>
      <c r="OEC64" s="229"/>
      <c r="OED64" s="230"/>
      <c r="OEE64" s="231"/>
      <c r="OEF64" s="232"/>
      <c r="OEG64" s="233"/>
      <c r="OEH64" s="233"/>
      <c r="OEI64" s="233"/>
      <c r="OEJ64" s="233"/>
      <c r="OEK64" s="233"/>
      <c r="OEL64" s="233"/>
      <c r="OEM64" s="231"/>
      <c r="OEN64" s="231"/>
      <c r="OEO64" s="229"/>
      <c r="OEP64" s="230"/>
      <c r="OEQ64" s="231"/>
      <c r="OER64" s="232"/>
      <c r="OES64" s="233"/>
      <c r="OET64" s="233"/>
      <c r="OEU64" s="233"/>
      <c r="OEV64" s="233"/>
      <c r="OEW64" s="233"/>
      <c r="OEX64" s="233"/>
      <c r="OEY64" s="231"/>
      <c r="OEZ64" s="231"/>
      <c r="OFA64" s="229"/>
      <c r="OFB64" s="230"/>
      <c r="OFC64" s="231"/>
      <c r="OFD64" s="232"/>
      <c r="OFE64" s="233"/>
      <c r="OFF64" s="233"/>
      <c r="OFG64" s="233"/>
      <c r="OFH64" s="233"/>
      <c r="OFI64" s="233"/>
      <c r="OFJ64" s="233"/>
      <c r="OFK64" s="231"/>
      <c r="OFL64" s="231"/>
      <c r="OFM64" s="229"/>
      <c r="OFN64" s="230"/>
      <c r="OFO64" s="231"/>
      <c r="OFP64" s="232"/>
      <c r="OFQ64" s="233"/>
      <c r="OFR64" s="233"/>
      <c r="OFS64" s="233"/>
      <c r="OFT64" s="233"/>
      <c r="OFU64" s="233"/>
      <c r="OFV64" s="233"/>
      <c r="OFW64" s="231"/>
      <c r="OFX64" s="231"/>
      <c r="OFY64" s="229"/>
      <c r="OFZ64" s="230"/>
      <c r="OGA64" s="231"/>
      <c r="OGB64" s="232"/>
      <c r="OGC64" s="233"/>
      <c r="OGD64" s="233"/>
      <c r="OGE64" s="233"/>
      <c r="OGF64" s="233"/>
      <c r="OGG64" s="233"/>
      <c r="OGH64" s="233"/>
      <c r="OGI64" s="231"/>
      <c r="OGJ64" s="231"/>
      <c r="OGK64" s="229"/>
      <c r="OGL64" s="230"/>
      <c r="OGM64" s="231"/>
      <c r="OGN64" s="232"/>
      <c r="OGO64" s="233"/>
      <c r="OGP64" s="233"/>
      <c r="OGQ64" s="233"/>
      <c r="OGR64" s="233"/>
      <c r="OGS64" s="233"/>
      <c r="OGT64" s="233"/>
      <c r="OGU64" s="231"/>
      <c r="OGV64" s="231"/>
      <c r="OGW64" s="229"/>
      <c r="OGX64" s="230"/>
      <c r="OGY64" s="231"/>
      <c r="OGZ64" s="232"/>
      <c r="OHA64" s="233"/>
      <c r="OHB64" s="233"/>
      <c r="OHC64" s="233"/>
      <c r="OHD64" s="233"/>
      <c r="OHE64" s="233"/>
      <c r="OHF64" s="233"/>
      <c r="OHG64" s="231"/>
      <c r="OHH64" s="231"/>
      <c r="OHI64" s="229"/>
      <c r="OHJ64" s="230"/>
      <c r="OHK64" s="231"/>
      <c r="OHL64" s="232"/>
      <c r="OHM64" s="233"/>
      <c r="OHN64" s="233"/>
      <c r="OHO64" s="233"/>
      <c r="OHP64" s="233"/>
      <c r="OHQ64" s="233"/>
      <c r="OHR64" s="233"/>
      <c r="OHS64" s="231"/>
      <c r="OHT64" s="231"/>
      <c r="OHU64" s="229"/>
      <c r="OHV64" s="230"/>
      <c r="OHW64" s="231"/>
      <c r="OHX64" s="232"/>
      <c r="OHY64" s="233"/>
      <c r="OHZ64" s="233"/>
      <c r="OIA64" s="233"/>
      <c r="OIB64" s="233"/>
      <c r="OIC64" s="233"/>
      <c r="OID64" s="233"/>
      <c r="OIE64" s="231"/>
      <c r="OIF64" s="231"/>
      <c r="OIG64" s="229"/>
      <c r="OIH64" s="230"/>
      <c r="OII64" s="231"/>
      <c r="OIJ64" s="232"/>
      <c r="OIK64" s="233"/>
      <c r="OIL64" s="233"/>
      <c r="OIM64" s="233"/>
      <c r="OIN64" s="233"/>
      <c r="OIO64" s="233"/>
      <c r="OIP64" s="233"/>
      <c r="OIQ64" s="231"/>
      <c r="OIR64" s="231"/>
      <c r="OIS64" s="229"/>
      <c r="OIT64" s="230"/>
      <c r="OIU64" s="231"/>
      <c r="OIV64" s="232"/>
      <c r="OIW64" s="233"/>
      <c r="OIX64" s="233"/>
      <c r="OIY64" s="233"/>
      <c r="OIZ64" s="233"/>
      <c r="OJA64" s="233"/>
      <c r="OJB64" s="233"/>
      <c r="OJC64" s="231"/>
      <c r="OJD64" s="231"/>
      <c r="OJE64" s="229"/>
      <c r="OJF64" s="230"/>
      <c r="OJG64" s="231"/>
      <c r="OJH64" s="232"/>
      <c r="OJI64" s="233"/>
      <c r="OJJ64" s="233"/>
      <c r="OJK64" s="233"/>
      <c r="OJL64" s="233"/>
      <c r="OJM64" s="233"/>
      <c r="OJN64" s="233"/>
      <c r="OJO64" s="231"/>
      <c r="OJP64" s="231"/>
      <c r="OJQ64" s="229"/>
      <c r="OJR64" s="230"/>
      <c r="OJS64" s="231"/>
      <c r="OJT64" s="232"/>
      <c r="OJU64" s="233"/>
      <c r="OJV64" s="233"/>
      <c r="OJW64" s="233"/>
      <c r="OJX64" s="233"/>
      <c r="OJY64" s="233"/>
      <c r="OJZ64" s="233"/>
      <c r="OKA64" s="231"/>
      <c r="OKB64" s="231"/>
      <c r="OKC64" s="229"/>
      <c r="OKD64" s="230"/>
      <c r="OKE64" s="231"/>
      <c r="OKF64" s="232"/>
      <c r="OKG64" s="233"/>
      <c r="OKH64" s="233"/>
      <c r="OKI64" s="233"/>
      <c r="OKJ64" s="233"/>
      <c r="OKK64" s="233"/>
      <c r="OKL64" s="233"/>
      <c r="OKM64" s="231"/>
      <c r="OKN64" s="231"/>
      <c r="OKO64" s="229"/>
      <c r="OKP64" s="230"/>
      <c r="OKQ64" s="231"/>
      <c r="OKR64" s="232"/>
      <c r="OKS64" s="233"/>
      <c r="OKT64" s="233"/>
      <c r="OKU64" s="233"/>
      <c r="OKV64" s="233"/>
      <c r="OKW64" s="233"/>
      <c r="OKX64" s="233"/>
      <c r="OKY64" s="231"/>
      <c r="OKZ64" s="231"/>
      <c r="OLA64" s="229"/>
      <c r="OLB64" s="230"/>
      <c r="OLC64" s="231"/>
      <c r="OLD64" s="232"/>
      <c r="OLE64" s="233"/>
      <c r="OLF64" s="233"/>
      <c r="OLG64" s="233"/>
      <c r="OLH64" s="233"/>
      <c r="OLI64" s="233"/>
      <c r="OLJ64" s="233"/>
      <c r="OLK64" s="231"/>
      <c r="OLL64" s="231"/>
      <c r="OLM64" s="229"/>
      <c r="OLN64" s="230"/>
      <c r="OLO64" s="231"/>
      <c r="OLP64" s="232"/>
      <c r="OLQ64" s="233"/>
      <c r="OLR64" s="233"/>
      <c r="OLS64" s="233"/>
      <c r="OLT64" s="233"/>
      <c r="OLU64" s="233"/>
      <c r="OLV64" s="233"/>
      <c r="OLW64" s="231"/>
      <c r="OLX64" s="231"/>
      <c r="OLY64" s="229"/>
      <c r="OLZ64" s="230"/>
      <c r="OMA64" s="231"/>
      <c r="OMB64" s="232"/>
      <c r="OMC64" s="233"/>
      <c r="OMD64" s="233"/>
      <c r="OME64" s="233"/>
      <c r="OMF64" s="233"/>
      <c r="OMG64" s="233"/>
      <c r="OMH64" s="233"/>
      <c r="OMI64" s="231"/>
      <c r="OMJ64" s="231"/>
      <c r="OMK64" s="229"/>
      <c r="OML64" s="230"/>
      <c r="OMM64" s="231"/>
      <c r="OMN64" s="232"/>
      <c r="OMO64" s="233"/>
      <c r="OMP64" s="233"/>
      <c r="OMQ64" s="233"/>
      <c r="OMR64" s="233"/>
      <c r="OMS64" s="233"/>
      <c r="OMT64" s="233"/>
      <c r="OMU64" s="231"/>
      <c r="OMV64" s="231"/>
      <c r="OMW64" s="229"/>
      <c r="OMX64" s="230"/>
      <c r="OMY64" s="231"/>
      <c r="OMZ64" s="232"/>
      <c r="ONA64" s="233"/>
      <c r="ONB64" s="233"/>
      <c r="ONC64" s="233"/>
      <c r="OND64" s="233"/>
      <c r="ONE64" s="233"/>
      <c r="ONF64" s="233"/>
      <c r="ONG64" s="231"/>
      <c r="ONH64" s="231"/>
      <c r="ONI64" s="229"/>
      <c r="ONJ64" s="230"/>
      <c r="ONK64" s="231"/>
      <c r="ONL64" s="232"/>
      <c r="ONM64" s="233"/>
      <c r="ONN64" s="233"/>
      <c r="ONO64" s="233"/>
      <c r="ONP64" s="233"/>
      <c r="ONQ64" s="233"/>
      <c r="ONR64" s="233"/>
      <c r="ONS64" s="231"/>
      <c r="ONT64" s="231"/>
      <c r="ONU64" s="229"/>
      <c r="ONV64" s="230"/>
      <c r="ONW64" s="231"/>
      <c r="ONX64" s="232"/>
      <c r="ONY64" s="233"/>
      <c r="ONZ64" s="233"/>
      <c r="OOA64" s="233"/>
      <c r="OOB64" s="233"/>
      <c r="OOC64" s="233"/>
      <c r="OOD64" s="233"/>
      <c r="OOE64" s="231"/>
      <c r="OOF64" s="231"/>
      <c r="OOG64" s="229"/>
      <c r="OOH64" s="230"/>
      <c r="OOI64" s="231"/>
      <c r="OOJ64" s="232"/>
      <c r="OOK64" s="233"/>
      <c r="OOL64" s="233"/>
      <c r="OOM64" s="233"/>
      <c r="OON64" s="233"/>
      <c r="OOO64" s="233"/>
      <c r="OOP64" s="233"/>
      <c r="OOQ64" s="231"/>
      <c r="OOR64" s="231"/>
      <c r="OOS64" s="229"/>
      <c r="OOT64" s="230"/>
      <c r="OOU64" s="231"/>
      <c r="OOV64" s="232"/>
      <c r="OOW64" s="233"/>
      <c r="OOX64" s="233"/>
      <c r="OOY64" s="233"/>
      <c r="OOZ64" s="233"/>
      <c r="OPA64" s="233"/>
      <c r="OPB64" s="233"/>
      <c r="OPC64" s="231"/>
      <c r="OPD64" s="231"/>
      <c r="OPE64" s="229"/>
      <c r="OPF64" s="230"/>
      <c r="OPG64" s="231"/>
      <c r="OPH64" s="232"/>
      <c r="OPI64" s="233"/>
      <c r="OPJ64" s="233"/>
      <c r="OPK64" s="233"/>
      <c r="OPL64" s="233"/>
      <c r="OPM64" s="233"/>
      <c r="OPN64" s="233"/>
      <c r="OPO64" s="231"/>
      <c r="OPP64" s="231"/>
      <c r="OPQ64" s="229"/>
      <c r="OPR64" s="230"/>
      <c r="OPS64" s="231"/>
      <c r="OPT64" s="232"/>
      <c r="OPU64" s="233"/>
      <c r="OPV64" s="233"/>
      <c r="OPW64" s="233"/>
      <c r="OPX64" s="233"/>
      <c r="OPY64" s="233"/>
      <c r="OPZ64" s="233"/>
      <c r="OQA64" s="231"/>
      <c r="OQB64" s="231"/>
      <c r="OQC64" s="229"/>
      <c r="OQD64" s="230"/>
      <c r="OQE64" s="231"/>
      <c r="OQF64" s="232"/>
      <c r="OQG64" s="233"/>
      <c r="OQH64" s="233"/>
      <c r="OQI64" s="233"/>
      <c r="OQJ64" s="233"/>
      <c r="OQK64" s="233"/>
      <c r="OQL64" s="233"/>
      <c r="OQM64" s="231"/>
      <c r="OQN64" s="231"/>
      <c r="OQO64" s="229"/>
      <c r="OQP64" s="230"/>
      <c r="OQQ64" s="231"/>
      <c r="OQR64" s="232"/>
      <c r="OQS64" s="233"/>
      <c r="OQT64" s="233"/>
      <c r="OQU64" s="233"/>
      <c r="OQV64" s="233"/>
      <c r="OQW64" s="233"/>
      <c r="OQX64" s="233"/>
      <c r="OQY64" s="231"/>
      <c r="OQZ64" s="231"/>
      <c r="ORA64" s="229"/>
      <c r="ORB64" s="230"/>
      <c r="ORC64" s="231"/>
      <c r="ORD64" s="232"/>
      <c r="ORE64" s="233"/>
      <c r="ORF64" s="233"/>
      <c r="ORG64" s="233"/>
      <c r="ORH64" s="233"/>
      <c r="ORI64" s="233"/>
      <c r="ORJ64" s="233"/>
      <c r="ORK64" s="231"/>
      <c r="ORL64" s="231"/>
      <c r="ORM64" s="229"/>
      <c r="ORN64" s="230"/>
      <c r="ORO64" s="231"/>
      <c r="ORP64" s="232"/>
      <c r="ORQ64" s="233"/>
      <c r="ORR64" s="233"/>
      <c r="ORS64" s="233"/>
      <c r="ORT64" s="233"/>
      <c r="ORU64" s="233"/>
      <c r="ORV64" s="233"/>
      <c r="ORW64" s="231"/>
      <c r="ORX64" s="231"/>
      <c r="ORY64" s="229"/>
      <c r="ORZ64" s="230"/>
      <c r="OSA64" s="231"/>
      <c r="OSB64" s="232"/>
      <c r="OSC64" s="233"/>
      <c r="OSD64" s="233"/>
      <c r="OSE64" s="233"/>
      <c r="OSF64" s="233"/>
      <c r="OSG64" s="233"/>
      <c r="OSH64" s="233"/>
      <c r="OSI64" s="231"/>
      <c r="OSJ64" s="231"/>
      <c r="OSK64" s="229"/>
      <c r="OSL64" s="230"/>
      <c r="OSM64" s="231"/>
      <c r="OSN64" s="232"/>
      <c r="OSO64" s="233"/>
      <c r="OSP64" s="233"/>
      <c r="OSQ64" s="233"/>
      <c r="OSR64" s="233"/>
      <c r="OSS64" s="233"/>
      <c r="OST64" s="233"/>
      <c r="OSU64" s="231"/>
      <c r="OSV64" s="231"/>
      <c r="OSW64" s="229"/>
      <c r="OSX64" s="230"/>
      <c r="OSY64" s="231"/>
      <c r="OSZ64" s="232"/>
      <c r="OTA64" s="233"/>
      <c r="OTB64" s="233"/>
      <c r="OTC64" s="233"/>
      <c r="OTD64" s="233"/>
      <c r="OTE64" s="233"/>
      <c r="OTF64" s="233"/>
      <c r="OTG64" s="231"/>
      <c r="OTH64" s="231"/>
      <c r="OTI64" s="229"/>
      <c r="OTJ64" s="230"/>
      <c r="OTK64" s="231"/>
      <c r="OTL64" s="232"/>
      <c r="OTM64" s="233"/>
      <c r="OTN64" s="233"/>
      <c r="OTO64" s="233"/>
      <c r="OTP64" s="233"/>
      <c r="OTQ64" s="233"/>
      <c r="OTR64" s="233"/>
      <c r="OTS64" s="231"/>
      <c r="OTT64" s="231"/>
      <c r="OTU64" s="229"/>
      <c r="OTV64" s="230"/>
      <c r="OTW64" s="231"/>
      <c r="OTX64" s="232"/>
      <c r="OTY64" s="233"/>
      <c r="OTZ64" s="233"/>
      <c r="OUA64" s="233"/>
      <c r="OUB64" s="233"/>
      <c r="OUC64" s="233"/>
      <c r="OUD64" s="233"/>
      <c r="OUE64" s="231"/>
      <c r="OUF64" s="231"/>
      <c r="OUG64" s="229"/>
      <c r="OUH64" s="230"/>
      <c r="OUI64" s="231"/>
      <c r="OUJ64" s="232"/>
      <c r="OUK64" s="233"/>
      <c r="OUL64" s="233"/>
      <c r="OUM64" s="233"/>
      <c r="OUN64" s="233"/>
      <c r="OUO64" s="233"/>
      <c r="OUP64" s="233"/>
      <c r="OUQ64" s="231"/>
      <c r="OUR64" s="231"/>
      <c r="OUS64" s="229"/>
      <c r="OUT64" s="230"/>
      <c r="OUU64" s="231"/>
      <c r="OUV64" s="232"/>
      <c r="OUW64" s="233"/>
      <c r="OUX64" s="233"/>
      <c r="OUY64" s="233"/>
      <c r="OUZ64" s="233"/>
      <c r="OVA64" s="233"/>
      <c r="OVB64" s="233"/>
      <c r="OVC64" s="231"/>
      <c r="OVD64" s="231"/>
      <c r="OVE64" s="229"/>
      <c r="OVF64" s="230"/>
      <c r="OVG64" s="231"/>
      <c r="OVH64" s="232"/>
      <c r="OVI64" s="233"/>
      <c r="OVJ64" s="233"/>
      <c r="OVK64" s="233"/>
      <c r="OVL64" s="233"/>
      <c r="OVM64" s="233"/>
      <c r="OVN64" s="233"/>
      <c r="OVO64" s="231"/>
      <c r="OVP64" s="231"/>
      <c r="OVQ64" s="229"/>
      <c r="OVR64" s="230"/>
      <c r="OVS64" s="231"/>
      <c r="OVT64" s="232"/>
      <c r="OVU64" s="233"/>
      <c r="OVV64" s="233"/>
      <c r="OVW64" s="233"/>
      <c r="OVX64" s="233"/>
      <c r="OVY64" s="233"/>
      <c r="OVZ64" s="233"/>
      <c r="OWA64" s="231"/>
      <c r="OWB64" s="231"/>
      <c r="OWC64" s="229"/>
      <c r="OWD64" s="230"/>
      <c r="OWE64" s="231"/>
      <c r="OWF64" s="232"/>
      <c r="OWG64" s="233"/>
      <c r="OWH64" s="233"/>
      <c r="OWI64" s="233"/>
      <c r="OWJ64" s="233"/>
      <c r="OWK64" s="233"/>
      <c r="OWL64" s="233"/>
      <c r="OWM64" s="231"/>
      <c r="OWN64" s="231"/>
      <c r="OWO64" s="229"/>
      <c r="OWP64" s="230"/>
      <c r="OWQ64" s="231"/>
      <c r="OWR64" s="232"/>
      <c r="OWS64" s="233"/>
      <c r="OWT64" s="233"/>
      <c r="OWU64" s="233"/>
      <c r="OWV64" s="233"/>
      <c r="OWW64" s="233"/>
      <c r="OWX64" s="233"/>
      <c r="OWY64" s="231"/>
      <c r="OWZ64" s="231"/>
      <c r="OXA64" s="229"/>
      <c r="OXB64" s="230"/>
      <c r="OXC64" s="231"/>
      <c r="OXD64" s="232"/>
      <c r="OXE64" s="233"/>
      <c r="OXF64" s="233"/>
      <c r="OXG64" s="233"/>
      <c r="OXH64" s="233"/>
      <c r="OXI64" s="233"/>
      <c r="OXJ64" s="233"/>
      <c r="OXK64" s="231"/>
      <c r="OXL64" s="231"/>
      <c r="OXM64" s="229"/>
      <c r="OXN64" s="230"/>
      <c r="OXO64" s="231"/>
      <c r="OXP64" s="232"/>
      <c r="OXQ64" s="233"/>
      <c r="OXR64" s="233"/>
      <c r="OXS64" s="233"/>
      <c r="OXT64" s="233"/>
      <c r="OXU64" s="233"/>
      <c r="OXV64" s="233"/>
      <c r="OXW64" s="231"/>
      <c r="OXX64" s="231"/>
      <c r="OXY64" s="229"/>
      <c r="OXZ64" s="230"/>
      <c r="OYA64" s="231"/>
      <c r="OYB64" s="232"/>
      <c r="OYC64" s="233"/>
      <c r="OYD64" s="233"/>
      <c r="OYE64" s="233"/>
      <c r="OYF64" s="233"/>
      <c r="OYG64" s="233"/>
      <c r="OYH64" s="233"/>
      <c r="OYI64" s="231"/>
      <c r="OYJ64" s="231"/>
      <c r="OYK64" s="229"/>
      <c r="OYL64" s="230"/>
      <c r="OYM64" s="231"/>
      <c r="OYN64" s="232"/>
      <c r="OYO64" s="233"/>
      <c r="OYP64" s="233"/>
      <c r="OYQ64" s="233"/>
      <c r="OYR64" s="233"/>
      <c r="OYS64" s="233"/>
      <c r="OYT64" s="233"/>
      <c r="OYU64" s="231"/>
      <c r="OYV64" s="231"/>
      <c r="OYW64" s="229"/>
      <c r="OYX64" s="230"/>
      <c r="OYY64" s="231"/>
      <c r="OYZ64" s="232"/>
      <c r="OZA64" s="233"/>
      <c r="OZB64" s="233"/>
      <c r="OZC64" s="233"/>
      <c r="OZD64" s="233"/>
      <c r="OZE64" s="233"/>
      <c r="OZF64" s="233"/>
      <c r="OZG64" s="231"/>
      <c r="OZH64" s="231"/>
      <c r="OZI64" s="229"/>
      <c r="OZJ64" s="230"/>
      <c r="OZK64" s="231"/>
      <c r="OZL64" s="232"/>
      <c r="OZM64" s="233"/>
      <c r="OZN64" s="233"/>
      <c r="OZO64" s="233"/>
      <c r="OZP64" s="233"/>
      <c r="OZQ64" s="233"/>
      <c r="OZR64" s="233"/>
      <c r="OZS64" s="231"/>
      <c r="OZT64" s="231"/>
      <c r="OZU64" s="229"/>
      <c r="OZV64" s="230"/>
      <c r="OZW64" s="231"/>
      <c r="OZX64" s="232"/>
      <c r="OZY64" s="233"/>
      <c r="OZZ64" s="233"/>
      <c r="PAA64" s="233"/>
      <c r="PAB64" s="233"/>
      <c r="PAC64" s="233"/>
      <c r="PAD64" s="233"/>
      <c r="PAE64" s="231"/>
      <c r="PAF64" s="231"/>
      <c r="PAG64" s="229"/>
      <c r="PAH64" s="230"/>
      <c r="PAI64" s="231"/>
      <c r="PAJ64" s="232"/>
      <c r="PAK64" s="233"/>
      <c r="PAL64" s="233"/>
      <c r="PAM64" s="233"/>
      <c r="PAN64" s="233"/>
      <c r="PAO64" s="233"/>
      <c r="PAP64" s="233"/>
      <c r="PAQ64" s="231"/>
      <c r="PAR64" s="231"/>
      <c r="PAS64" s="229"/>
      <c r="PAT64" s="230"/>
      <c r="PAU64" s="231"/>
      <c r="PAV64" s="232"/>
      <c r="PAW64" s="233"/>
      <c r="PAX64" s="233"/>
      <c r="PAY64" s="233"/>
      <c r="PAZ64" s="233"/>
      <c r="PBA64" s="233"/>
      <c r="PBB64" s="233"/>
      <c r="PBC64" s="231"/>
      <c r="PBD64" s="231"/>
      <c r="PBE64" s="229"/>
      <c r="PBF64" s="230"/>
      <c r="PBG64" s="231"/>
      <c r="PBH64" s="232"/>
      <c r="PBI64" s="233"/>
      <c r="PBJ64" s="233"/>
      <c r="PBK64" s="233"/>
      <c r="PBL64" s="233"/>
      <c r="PBM64" s="233"/>
      <c r="PBN64" s="233"/>
      <c r="PBO64" s="231"/>
      <c r="PBP64" s="231"/>
      <c r="PBQ64" s="229"/>
      <c r="PBR64" s="230"/>
      <c r="PBS64" s="231"/>
      <c r="PBT64" s="232"/>
      <c r="PBU64" s="233"/>
      <c r="PBV64" s="233"/>
      <c r="PBW64" s="233"/>
      <c r="PBX64" s="233"/>
      <c r="PBY64" s="233"/>
      <c r="PBZ64" s="233"/>
      <c r="PCA64" s="231"/>
      <c r="PCB64" s="231"/>
      <c r="PCC64" s="229"/>
      <c r="PCD64" s="230"/>
      <c r="PCE64" s="231"/>
      <c r="PCF64" s="232"/>
      <c r="PCG64" s="233"/>
      <c r="PCH64" s="233"/>
      <c r="PCI64" s="233"/>
      <c r="PCJ64" s="233"/>
      <c r="PCK64" s="233"/>
      <c r="PCL64" s="233"/>
      <c r="PCM64" s="231"/>
      <c r="PCN64" s="231"/>
      <c r="PCO64" s="229"/>
      <c r="PCP64" s="230"/>
      <c r="PCQ64" s="231"/>
      <c r="PCR64" s="232"/>
      <c r="PCS64" s="233"/>
      <c r="PCT64" s="233"/>
      <c r="PCU64" s="233"/>
      <c r="PCV64" s="233"/>
      <c r="PCW64" s="233"/>
      <c r="PCX64" s="233"/>
      <c r="PCY64" s="231"/>
      <c r="PCZ64" s="231"/>
      <c r="PDA64" s="229"/>
      <c r="PDB64" s="230"/>
      <c r="PDC64" s="231"/>
      <c r="PDD64" s="232"/>
      <c r="PDE64" s="233"/>
      <c r="PDF64" s="233"/>
      <c r="PDG64" s="233"/>
      <c r="PDH64" s="233"/>
      <c r="PDI64" s="233"/>
      <c r="PDJ64" s="233"/>
      <c r="PDK64" s="231"/>
      <c r="PDL64" s="231"/>
      <c r="PDM64" s="229"/>
      <c r="PDN64" s="230"/>
      <c r="PDO64" s="231"/>
      <c r="PDP64" s="232"/>
      <c r="PDQ64" s="233"/>
      <c r="PDR64" s="233"/>
      <c r="PDS64" s="233"/>
      <c r="PDT64" s="233"/>
      <c r="PDU64" s="233"/>
      <c r="PDV64" s="233"/>
      <c r="PDW64" s="231"/>
      <c r="PDX64" s="231"/>
      <c r="PDY64" s="229"/>
      <c r="PDZ64" s="230"/>
      <c r="PEA64" s="231"/>
      <c r="PEB64" s="232"/>
      <c r="PEC64" s="233"/>
      <c r="PED64" s="233"/>
      <c r="PEE64" s="233"/>
      <c r="PEF64" s="233"/>
      <c r="PEG64" s="233"/>
      <c r="PEH64" s="233"/>
      <c r="PEI64" s="231"/>
      <c r="PEJ64" s="231"/>
      <c r="PEK64" s="229"/>
      <c r="PEL64" s="230"/>
      <c r="PEM64" s="231"/>
      <c r="PEN64" s="232"/>
      <c r="PEO64" s="233"/>
      <c r="PEP64" s="233"/>
      <c r="PEQ64" s="233"/>
      <c r="PER64" s="233"/>
      <c r="PES64" s="233"/>
      <c r="PET64" s="233"/>
      <c r="PEU64" s="231"/>
      <c r="PEV64" s="231"/>
      <c r="PEW64" s="229"/>
      <c r="PEX64" s="230"/>
      <c r="PEY64" s="231"/>
      <c r="PEZ64" s="232"/>
      <c r="PFA64" s="233"/>
      <c r="PFB64" s="233"/>
      <c r="PFC64" s="233"/>
      <c r="PFD64" s="233"/>
      <c r="PFE64" s="233"/>
      <c r="PFF64" s="233"/>
      <c r="PFG64" s="231"/>
      <c r="PFH64" s="231"/>
      <c r="PFI64" s="229"/>
      <c r="PFJ64" s="230"/>
      <c r="PFK64" s="231"/>
      <c r="PFL64" s="232"/>
      <c r="PFM64" s="233"/>
      <c r="PFN64" s="233"/>
      <c r="PFO64" s="233"/>
      <c r="PFP64" s="233"/>
      <c r="PFQ64" s="233"/>
      <c r="PFR64" s="233"/>
      <c r="PFS64" s="231"/>
      <c r="PFT64" s="231"/>
      <c r="PFU64" s="229"/>
      <c r="PFV64" s="230"/>
      <c r="PFW64" s="231"/>
      <c r="PFX64" s="232"/>
      <c r="PFY64" s="233"/>
      <c r="PFZ64" s="233"/>
      <c r="PGA64" s="233"/>
      <c r="PGB64" s="233"/>
      <c r="PGC64" s="233"/>
      <c r="PGD64" s="233"/>
      <c r="PGE64" s="231"/>
      <c r="PGF64" s="231"/>
      <c r="PGG64" s="229"/>
      <c r="PGH64" s="230"/>
      <c r="PGI64" s="231"/>
      <c r="PGJ64" s="232"/>
      <c r="PGK64" s="233"/>
      <c r="PGL64" s="233"/>
      <c r="PGM64" s="233"/>
      <c r="PGN64" s="233"/>
      <c r="PGO64" s="233"/>
      <c r="PGP64" s="233"/>
      <c r="PGQ64" s="231"/>
      <c r="PGR64" s="231"/>
      <c r="PGS64" s="229"/>
      <c r="PGT64" s="230"/>
      <c r="PGU64" s="231"/>
      <c r="PGV64" s="232"/>
      <c r="PGW64" s="233"/>
      <c r="PGX64" s="233"/>
      <c r="PGY64" s="233"/>
      <c r="PGZ64" s="233"/>
      <c r="PHA64" s="233"/>
      <c r="PHB64" s="233"/>
      <c r="PHC64" s="231"/>
      <c r="PHD64" s="231"/>
      <c r="PHE64" s="229"/>
      <c r="PHF64" s="230"/>
      <c r="PHG64" s="231"/>
      <c r="PHH64" s="232"/>
      <c r="PHI64" s="233"/>
      <c r="PHJ64" s="233"/>
      <c r="PHK64" s="233"/>
      <c r="PHL64" s="233"/>
      <c r="PHM64" s="233"/>
      <c r="PHN64" s="233"/>
      <c r="PHO64" s="231"/>
      <c r="PHP64" s="231"/>
      <c r="PHQ64" s="229"/>
      <c r="PHR64" s="230"/>
      <c r="PHS64" s="231"/>
      <c r="PHT64" s="232"/>
      <c r="PHU64" s="233"/>
      <c r="PHV64" s="233"/>
      <c r="PHW64" s="233"/>
      <c r="PHX64" s="233"/>
      <c r="PHY64" s="233"/>
      <c r="PHZ64" s="233"/>
      <c r="PIA64" s="231"/>
      <c r="PIB64" s="231"/>
      <c r="PIC64" s="229"/>
      <c r="PID64" s="230"/>
      <c r="PIE64" s="231"/>
      <c r="PIF64" s="232"/>
      <c r="PIG64" s="233"/>
      <c r="PIH64" s="233"/>
      <c r="PII64" s="233"/>
      <c r="PIJ64" s="233"/>
      <c r="PIK64" s="233"/>
      <c r="PIL64" s="233"/>
      <c r="PIM64" s="231"/>
      <c r="PIN64" s="231"/>
      <c r="PIO64" s="229"/>
      <c r="PIP64" s="230"/>
      <c r="PIQ64" s="231"/>
      <c r="PIR64" s="232"/>
      <c r="PIS64" s="233"/>
      <c r="PIT64" s="233"/>
      <c r="PIU64" s="233"/>
      <c r="PIV64" s="233"/>
      <c r="PIW64" s="233"/>
      <c r="PIX64" s="233"/>
      <c r="PIY64" s="231"/>
      <c r="PIZ64" s="231"/>
      <c r="PJA64" s="229"/>
      <c r="PJB64" s="230"/>
      <c r="PJC64" s="231"/>
      <c r="PJD64" s="232"/>
      <c r="PJE64" s="233"/>
      <c r="PJF64" s="233"/>
      <c r="PJG64" s="233"/>
      <c r="PJH64" s="233"/>
      <c r="PJI64" s="233"/>
      <c r="PJJ64" s="233"/>
      <c r="PJK64" s="231"/>
      <c r="PJL64" s="231"/>
      <c r="PJM64" s="229"/>
      <c r="PJN64" s="230"/>
      <c r="PJO64" s="231"/>
      <c r="PJP64" s="232"/>
      <c r="PJQ64" s="233"/>
      <c r="PJR64" s="233"/>
      <c r="PJS64" s="233"/>
      <c r="PJT64" s="233"/>
      <c r="PJU64" s="233"/>
      <c r="PJV64" s="233"/>
      <c r="PJW64" s="231"/>
      <c r="PJX64" s="231"/>
      <c r="PJY64" s="229"/>
      <c r="PJZ64" s="230"/>
      <c r="PKA64" s="231"/>
      <c r="PKB64" s="232"/>
      <c r="PKC64" s="233"/>
      <c r="PKD64" s="233"/>
      <c r="PKE64" s="233"/>
      <c r="PKF64" s="233"/>
      <c r="PKG64" s="233"/>
      <c r="PKH64" s="233"/>
      <c r="PKI64" s="231"/>
      <c r="PKJ64" s="231"/>
      <c r="PKK64" s="229"/>
      <c r="PKL64" s="230"/>
      <c r="PKM64" s="231"/>
      <c r="PKN64" s="232"/>
      <c r="PKO64" s="233"/>
      <c r="PKP64" s="233"/>
      <c r="PKQ64" s="233"/>
      <c r="PKR64" s="233"/>
      <c r="PKS64" s="233"/>
      <c r="PKT64" s="233"/>
      <c r="PKU64" s="231"/>
      <c r="PKV64" s="231"/>
      <c r="PKW64" s="229"/>
      <c r="PKX64" s="230"/>
      <c r="PKY64" s="231"/>
      <c r="PKZ64" s="232"/>
      <c r="PLA64" s="233"/>
      <c r="PLB64" s="233"/>
      <c r="PLC64" s="233"/>
      <c r="PLD64" s="233"/>
      <c r="PLE64" s="233"/>
      <c r="PLF64" s="233"/>
      <c r="PLG64" s="231"/>
      <c r="PLH64" s="231"/>
      <c r="PLI64" s="229"/>
      <c r="PLJ64" s="230"/>
      <c r="PLK64" s="231"/>
      <c r="PLL64" s="232"/>
      <c r="PLM64" s="233"/>
      <c r="PLN64" s="233"/>
      <c r="PLO64" s="233"/>
      <c r="PLP64" s="233"/>
      <c r="PLQ64" s="233"/>
      <c r="PLR64" s="233"/>
      <c r="PLS64" s="231"/>
      <c r="PLT64" s="231"/>
      <c r="PLU64" s="229"/>
      <c r="PLV64" s="230"/>
      <c r="PLW64" s="231"/>
      <c r="PLX64" s="232"/>
      <c r="PLY64" s="233"/>
      <c r="PLZ64" s="233"/>
      <c r="PMA64" s="233"/>
      <c r="PMB64" s="233"/>
      <c r="PMC64" s="233"/>
      <c r="PMD64" s="233"/>
      <c r="PME64" s="231"/>
      <c r="PMF64" s="231"/>
      <c r="PMG64" s="229"/>
      <c r="PMH64" s="230"/>
      <c r="PMI64" s="231"/>
      <c r="PMJ64" s="232"/>
      <c r="PMK64" s="233"/>
      <c r="PML64" s="233"/>
      <c r="PMM64" s="233"/>
      <c r="PMN64" s="233"/>
      <c r="PMO64" s="233"/>
      <c r="PMP64" s="233"/>
      <c r="PMQ64" s="231"/>
      <c r="PMR64" s="231"/>
      <c r="PMS64" s="229"/>
      <c r="PMT64" s="230"/>
      <c r="PMU64" s="231"/>
      <c r="PMV64" s="232"/>
      <c r="PMW64" s="233"/>
      <c r="PMX64" s="233"/>
      <c r="PMY64" s="233"/>
      <c r="PMZ64" s="233"/>
      <c r="PNA64" s="233"/>
      <c r="PNB64" s="233"/>
      <c r="PNC64" s="231"/>
      <c r="PND64" s="231"/>
      <c r="PNE64" s="229"/>
      <c r="PNF64" s="230"/>
      <c r="PNG64" s="231"/>
      <c r="PNH64" s="232"/>
      <c r="PNI64" s="233"/>
      <c r="PNJ64" s="233"/>
      <c r="PNK64" s="233"/>
      <c r="PNL64" s="233"/>
      <c r="PNM64" s="233"/>
      <c r="PNN64" s="233"/>
      <c r="PNO64" s="231"/>
      <c r="PNP64" s="231"/>
      <c r="PNQ64" s="229"/>
      <c r="PNR64" s="230"/>
      <c r="PNS64" s="231"/>
      <c r="PNT64" s="232"/>
      <c r="PNU64" s="233"/>
      <c r="PNV64" s="233"/>
      <c r="PNW64" s="233"/>
      <c r="PNX64" s="233"/>
      <c r="PNY64" s="233"/>
      <c r="PNZ64" s="233"/>
      <c r="POA64" s="231"/>
      <c r="POB64" s="231"/>
      <c r="POC64" s="229"/>
      <c r="POD64" s="230"/>
      <c r="POE64" s="231"/>
      <c r="POF64" s="232"/>
      <c r="POG64" s="233"/>
      <c r="POH64" s="233"/>
      <c r="POI64" s="233"/>
      <c r="POJ64" s="233"/>
      <c r="POK64" s="233"/>
      <c r="POL64" s="233"/>
      <c r="POM64" s="231"/>
      <c r="PON64" s="231"/>
      <c r="POO64" s="229"/>
      <c r="POP64" s="230"/>
      <c r="POQ64" s="231"/>
      <c r="POR64" s="232"/>
      <c r="POS64" s="233"/>
      <c r="POT64" s="233"/>
      <c r="POU64" s="233"/>
      <c r="POV64" s="233"/>
      <c r="POW64" s="233"/>
      <c r="POX64" s="233"/>
      <c r="POY64" s="231"/>
      <c r="POZ64" s="231"/>
      <c r="PPA64" s="229"/>
      <c r="PPB64" s="230"/>
      <c r="PPC64" s="231"/>
      <c r="PPD64" s="232"/>
      <c r="PPE64" s="233"/>
      <c r="PPF64" s="233"/>
      <c r="PPG64" s="233"/>
      <c r="PPH64" s="233"/>
      <c r="PPI64" s="233"/>
      <c r="PPJ64" s="233"/>
      <c r="PPK64" s="231"/>
      <c r="PPL64" s="231"/>
      <c r="PPM64" s="229"/>
      <c r="PPN64" s="230"/>
      <c r="PPO64" s="231"/>
      <c r="PPP64" s="232"/>
      <c r="PPQ64" s="233"/>
      <c r="PPR64" s="233"/>
      <c r="PPS64" s="233"/>
      <c r="PPT64" s="233"/>
      <c r="PPU64" s="233"/>
      <c r="PPV64" s="233"/>
      <c r="PPW64" s="231"/>
      <c r="PPX64" s="231"/>
      <c r="PPY64" s="229"/>
      <c r="PPZ64" s="230"/>
      <c r="PQA64" s="231"/>
      <c r="PQB64" s="232"/>
      <c r="PQC64" s="233"/>
      <c r="PQD64" s="233"/>
      <c r="PQE64" s="233"/>
      <c r="PQF64" s="233"/>
      <c r="PQG64" s="233"/>
      <c r="PQH64" s="233"/>
      <c r="PQI64" s="231"/>
      <c r="PQJ64" s="231"/>
      <c r="PQK64" s="229"/>
      <c r="PQL64" s="230"/>
      <c r="PQM64" s="231"/>
      <c r="PQN64" s="232"/>
      <c r="PQO64" s="233"/>
      <c r="PQP64" s="233"/>
      <c r="PQQ64" s="233"/>
      <c r="PQR64" s="233"/>
      <c r="PQS64" s="233"/>
      <c r="PQT64" s="233"/>
      <c r="PQU64" s="231"/>
      <c r="PQV64" s="231"/>
      <c r="PQW64" s="229"/>
      <c r="PQX64" s="230"/>
      <c r="PQY64" s="231"/>
      <c r="PQZ64" s="232"/>
      <c r="PRA64" s="233"/>
      <c r="PRB64" s="233"/>
      <c r="PRC64" s="233"/>
      <c r="PRD64" s="233"/>
      <c r="PRE64" s="233"/>
      <c r="PRF64" s="233"/>
      <c r="PRG64" s="231"/>
      <c r="PRH64" s="231"/>
      <c r="PRI64" s="229"/>
      <c r="PRJ64" s="230"/>
      <c r="PRK64" s="231"/>
      <c r="PRL64" s="232"/>
      <c r="PRM64" s="233"/>
      <c r="PRN64" s="233"/>
      <c r="PRO64" s="233"/>
      <c r="PRP64" s="233"/>
      <c r="PRQ64" s="233"/>
      <c r="PRR64" s="233"/>
      <c r="PRS64" s="231"/>
      <c r="PRT64" s="231"/>
      <c r="PRU64" s="229"/>
      <c r="PRV64" s="230"/>
      <c r="PRW64" s="231"/>
      <c r="PRX64" s="232"/>
      <c r="PRY64" s="233"/>
      <c r="PRZ64" s="233"/>
      <c r="PSA64" s="233"/>
      <c r="PSB64" s="233"/>
      <c r="PSC64" s="233"/>
      <c r="PSD64" s="233"/>
      <c r="PSE64" s="231"/>
      <c r="PSF64" s="231"/>
      <c r="PSG64" s="229"/>
      <c r="PSH64" s="230"/>
      <c r="PSI64" s="231"/>
      <c r="PSJ64" s="232"/>
      <c r="PSK64" s="233"/>
      <c r="PSL64" s="233"/>
      <c r="PSM64" s="233"/>
      <c r="PSN64" s="233"/>
      <c r="PSO64" s="233"/>
      <c r="PSP64" s="233"/>
      <c r="PSQ64" s="231"/>
      <c r="PSR64" s="231"/>
      <c r="PSS64" s="229"/>
      <c r="PST64" s="230"/>
      <c r="PSU64" s="231"/>
      <c r="PSV64" s="232"/>
      <c r="PSW64" s="233"/>
      <c r="PSX64" s="233"/>
      <c r="PSY64" s="233"/>
      <c r="PSZ64" s="233"/>
      <c r="PTA64" s="233"/>
      <c r="PTB64" s="233"/>
      <c r="PTC64" s="231"/>
      <c r="PTD64" s="231"/>
      <c r="PTE64" s="229"/>
      <c r="PTF64" s="230"/>
      <c r="PTG64" s="231"/>
      <c r="PTH64" s="232"/>
      <c r="PTI64" s="233"/>
      <c r="PTJ64" s="233"/>
      <c r="PTK64" s="233"/>
      <c r="PTL64" s="233"/>
      <c r="PTM64" s="233"/>
      <c r="PTN64" s="233"/>
      <c r="PTO64" s="231"/>
      <c r="PTP64" s="231"/>
      <c r="PTQ64" s="229"/>
      <c r="PTR64" s="230"/>
      <c r="PTS64" s="231"/>
      <c r="PTT64" s="232"/>
      <c r="PTU64" s="233"/>
      <c r="PTV64" s="233"/>
      <c r="PTW64" s="233"/>
      <c r="PTX64" s="233"/>
      <c r="PTY64" s="233"/>
      <c r="PTZ64" s="233"/>
      <c r="PUA64" s="231"/>
      <c r="PUB64" s="231"/>
      <c r="PUC64" s="229"/>
      <c r="PUD64" s="230"/>
      <c r="PUE64" s="231"/>
      <c r="PUF64" s="232"/>
      <c r="PUG64" s="233"/>
      <c r="PUH64" s="233"/>
      <c r="PUI64" s="233"/>
      <c r="PUJ64" s="233"/>
      <c r="PUK64" s="233"/>
      <c r="PUL64" s="233"/>
      <c r="PUM64" s="231"/>
      <c r="PUN64" s="231"/>
      <c r="PUO64" s="229"/>
      <c r="PUP64" s="230"/>
      <c r="PUQ64" s="231"/>
      <c r="PUR64" s="232"/>
      <c r="PUS64" s="233"/>
      <c r="PUT64" s="233"/>
      <c r="PUU64" s="233"/>
      <c r="PUV64" s="233"/>
      <c r="PUW64" s="233"/>
      <c r="PUX64" s="233"/>
      <c r="PUY64" s="231"/>
      <c r="PUZ64" s="231"/>
      <c r="PVA64" s="229"/>
      <c r="PVB64" s="230"/>
      <c r="PVC64" s="231"/>
      <c r="PVD64" s="232"/>
      <c r="PVE64" s="233"/>
      <c r="PVF64" s="233"/>
      <c r="PVG64" s="233"/>
      <c r="PVH64" s="233"/>
      <c r="PVI64" s="233"/>
      <c r="PVJ64" s="233"/>
      <c r="PVK64" s="231"/>
      <c r="PVL64" s="231"/>
      <c r="PVM64" s="229"/>
      <c r="PVN64" s="230"/>
      <c r="PVO64" s="231"/>
      <c r="PVP64" s="232"/>
      <c r="PVQ64" s="233"/>
      <c r="PVR64" s="233"/>
      <c r="PVS64" s="233"/>
      <c r="PVT64" s="233"/>
      <c r="PVU64" s="233"/>
      <c r="PVV64" s="233"/>
      <c r="PVW64" s="231"/>
      <c r="PVX64" s="231"/>
      <c r="PVY64" s="229"/>
      <c r="PVZ64" s="230"/>
      <c r="PWA64" s="231"/>
      <c r="PWB64" s="232"/>
      <c r="PWC64" s="233"/>
      <c r="PWD64" s="233"/>
      <c r="PWE64" s="233"/>
      <c r="PWF64" s="233"/>
      <c r="PWG64" s="233"/>
      <c r="PWH64" s="233"/>
      <c r="PWI64" s="231"/>
      <c r="PWJ64" s="231"/>
      <c r="PWK64" s="229"/>
      <c r="PWL64" s="230"/>
      <c r="PWM64" s="231"/>
      <c r="PWN64" s="232"/>
      <c r="PWO64" s="233"/>
      <c r="PWP64" s="233"/>
      <c r="PWQ64" s="233"/>
      <c r="PWR64" s="233"/>
      <c r="PWS64" s="233"/>
      <c r="PWT64" s="233"/>
      <c r="PWU64" s="231"/>
      <c r="PWV64" s="231"/>
      <c r="PWW64" s="229"/>
      <c r="PWX64" s="230"/>
      <c r="PWY64" s="231"/>
      <c r="PWZ64" s="232"/>
      <c r="PXA64" s="233"/>
      <c r="PXB64" s="233"/>
      <c r="PXC64" s="233"/>
      <c r="PXD64" s="233"/>
      <c r="PXE64" s="233"/>
      <c r="PXF64" s="233"/>
      <c r="PXG64" s="231"/>
      <c r="PXH64" s="231"/>
      <c r="PXI64" s="229"/>
      <c r="PXJ64" s="230"/>
      <c r="PXK64" s="231"/>
      <c r="PXL64" s="232"/>
      <c r="PXM64" s="233"/>
      <c r="PXN64" s="233"/>
      <c r="PXO64" s="233"/>
      <c r="PXP64" s="233"/>
      <c r="PXQ64" s="233"/>
      <c r="PXR64" s="233"/>
      <c r="PXS64" s="231"/>
      <c r="PXT64" s="231"/>
      <c r="PXU64" s="229"/>
      <c r="PXV64" s="230"/>
      <c r="PXW64" s="231"/>
      <c r="PXX64" s="232"/>
      <c r="PXY64" s="233"/>
      <c r="PXZ64" s="233"/>
      <c r="PYA64" s="233"/>
      <c r="PYB64" s="233"/>
      <c r="PYC64" s="233"/>
      <c r="PYD64" s="233"/>
      <c r="PYE64" s="231"/>
      <c r="PYF64" s="231"/>
      <c r="PYG64" s="229"/>
      <c r="PYH64" s="230"/>
      <c r="PYI64" s="231"/>
      <c r="PYJ64" s="232"/>
      <c r="PYK64" s="233"/>
      <c r="PYL64" s="233"/>
      <c r="PYM64" s="233"/>
      <c r="PYN64" s="233"/>
      <c r="PYO64" s="233"/>
      <c r="PYP64" s="233"/>
      <c r="PYQ64" s="231"/>
      <c r="PYR64" s="231"/>
      <c r="PYS64" s="229"/>
      <c r="PYT64" s="230"/>
      <c r="PYU64" s="231"/>
      <c r="PYV64" s="232"/>
      <c r="PYW64" s="233"/>
      <c r="PYX64" s="233"/>
      <c r="PYY64" s="233"/>
      <c r="PYZ64" s="233"/>
      <c r="PZA64" s="233"/>
      <c r="PZB64" s="233"/>
      <c r="PZC64" s="231"/>
      <c r="PZD64" s="231"/>
      <c r="PZE64" s="229"/>
      <c r="PZF64" s="230"/>
      <c r="PZG64" s="231"/>
      <c r="PZH64" s="232"/>
      <c r="PZI64" s="233"/>
      <c r="PZJ64" s="233"/>
      <c r="PZK64" s="233"/>
      <c r="PZL64" s="233"/>
      <c r="PZM64" s="233"/>
      <c r="PZN64" s="233"/>
      <c r="PZO64" s="231"/>
      <c r="PZP64" s="231"/>
      <c r="PZQ64" s="229"/>
      <c r="PZR64" s="230"/>
      <c r="PZS64" s="231"/>
      <c r="PZT64" s="232"/>
      <c r="PZU64" s="233"/>
      <c r="PZV64" s="233"/>
      <c r="PZW64" s="233"/>
      <c r="PZX64" s="233"/>
      <c r="PZY64" s="233"/>
      <c r="PZZ64" s="233"/>
      <c r="QAA64" s="231"/>
      <c r="QAB64" s="231"/>
      <c r="QAC64" s="229"/>
      <c r="QAD64" s="230"/>
      <c r="QAE64" s="231"/>
      <c r="QAF64" s="232"/>
      <c r="QAG64" s="233"/>
      <c r="QAH64" s="233"/>
      <c r="QAI64" s="233"/>
      <c r="QAJ64" s="233"/>
      <c r="QAK64" s="233"/>
      <c r="QAL64" s="233"/>
      <c r="QAM64" s="231"/>
      <c r="QAN64" s="231"/>
      <c r="QAO64" s="229"/>
      <c r="QAP64" s="230"/>
      <c r="QAQ64" s="231"/>
      <c r="QAR64" s="232"/>
      <c r="QAS64" s="233"/>
      <c r="QAT64" s="233"/>
      <c r="QAU64" s="233"/>
      <c r="QAV64" s="233"/>
      <c r="QAW64" s="233"/>
      <c r="QAX64" s="233"/>
      <c r="QAY64" s="231"/>
      <c r="QAZ64" s="231"/>
      <c r="QBA64" s="229"/>
      <c r="QBB64" s="230"/>
      <c r="QBC64" s="231"/>
      <c r="QBD64" s="232"/>
      <c r="QBE64" s="233"/>
      <c r="QBF64" s="233"/>
      <c r="QBG64" s="233"/>
      <c r="QBH64" s="233"/>
      <c r="QBI64" s="233"/>
      <c r="QBJ64" s="233"/>
      <c r="QBK64" s="231"/>
      <c r="QBL64" s="231"/>
      <c r="QBM64" s="229"/>
      <c r="QBN64" s="230"/>
      <c r="QBO64" s="231"/>
      <c r="QBP64" s="232"/>
      <c r="QBQ64" s="233"/>
      <c r="QBR64" s="233"/>
      <c r="QBS64" s="233"/>
      <c r="QBT64" s="233"/>
      <c r="QBU64" s="233"/>
      <c r="QBV64" s="233"/>
      <c r="QBW64" s="231"/>
      <c r="QBX64" s="231"/>
      <c r="QBY64" s="229"/>
      <c r="QBZ64" s="230"/>
      <c r="QCA64" s="231"/>
      <c r="QCB64" s="232"/>
      <c r="QCC64" s="233"/>
      <c r="QCD64" s="233"/>
      <c r="QCE64" s="233"/>
      <c r="QCF64" s="233"/>
      <c r="QCG64" s="233"/>
      <c r="QCH64" s="233"/>
      <c r="QCI64" s="231"/>
      <c r="QCJ64" s="231"/>
      <c r="QCK64" s="229"/>
      <c r="QCL64" s="230"/>
      <c r="QCM64" s="231"/>
      <c r="QCN64" s="232"/>
      <c r="QCO64" s="233"/>
      <c r="QCP64" s="233"/>
      <c r="QCQ64" s="233"/>
      <c r="QCR64" s="233"/>
      <c r="QCS64" s="233"/>
      <c r="QCT64" s="233"/>
      <c r="QCU64" s="231"/>
      <c r="QCV64" s="231"/>
      <c r="QCW64" s="229"/>
      <c r="QCX64" s="230"/>
      <c r="QCY64" s="231"/>
      <c r="QCZ64" s="232"/>
      <c r="QDA64" s="233"/>
      <c r="QDB64" s="233"/>
      <c r="QDC64" s="233"/>
      <c r="QDD64" s="233"/>
      <c r="QDE64" s="233"/>
      <c r="QDF64" s="233"/>
      <c r="QDG64" s="231"/>
      <c r="QDH64" s="231"/>
      <c r="QDI64" s="229"/>
      <c r="QDJ64" s="230"/>
      <c r="QDK64" s="231"/>
      <c r="QDL64" s="232"/>
      <c r="QDM64" s="233"/>
      <c r="QDN64" s="233"/>
      <c r="QDO64" s="233"/>
      <c r="QDP64" s="233"/>
      <c r="QDQ64" s="233"/>
      <c r="QDR64" s="233"/>
      <c r="QDS64" s="231"/>
      <c r="QDT64" s="231"/>
      <c r="QDU64" s="229"/>
      <c r="QDV64" s="230"/>
      <c r="QDW64" s="231"/>
      <c r="QDX64" s="232"/>
      <c r="QDY64" s="233"/>
      <c r="QDZ64" s="233"/>
      <c r="QEA64" s="233"/>
      <c r="QEB64" s="233"/>
      <c r="QEC64" s="233"/>
      <c r="QED64" s="233"/>
      <c r="QEE64" s="231"/>
      <c r="QEF64" s="231"/>
      <c r="QEG64" s="229"/>
      <c r="QEH64" s="230"/>
      <c r="QEI64" s="231"/>
      <c r="QEJ64" s="232"/>
      <c r="QEK64" s="233"/>
      <c r="QEL64" s="233"/>
      <c r="QEM64" s="233"/>
      <c r="QEN64" s="233"/>
      <c r="QEO64" s="233"/>
      <c r="QEP64" s="233"/>
      <c r="QEQ64" s="231"/>
      <c r="QER64" s="231"/>
      <c r="QES64" s="229"/>
      <c r="QET64" s="230"/>
      <c r="QEU64" s="231"/>
      <c r="QEV64" s="232"/>
      <c r="QEW64" s="233"/>
      <c r="QEX64" s="233"/>
      <c r="QEY64" s="233"/>
      <c r="QEZ64" s="233"/>
      <c r="QFA64" s="233"/>
      <c r="QFB64" s="233"/>
      <c r="QFC64" s="231"/>
      <c r="QFD64" s="231"/>
      <c r="QFE64" s="229"/>
      <c r="QFF64" s="230"/>
      <c r="QFG64" s="231"/>
      <c r="QFH64" s="232"/>
      <c r="QFI64" s="233"/>
      <c r="QFJ64" s="233"/>
      <c r="QFK64" s="233"/>
      <c r="QFL64" s="233"/>
      <c r="QFM64" s="233"/>
      <c r="QFN64" s="233"/>
      <c r="QFO64" s="231"/>
      <c r="QFP64" s="231"/>
      <c r="QFQ64" s="229"/>
      <c r="QFR64" s="230"/>
      <c r="QFS64" s="231"/>
      <c r="QFT64" s="232"/>
      <c r="QFU64" s="233"/>
      <c r="QFV64" s="233"/>
      <c r="QFW64" s="233"/>
      <c r="QFX64" s="233"/>
      <c r="QFY64" s="233"/>
      <c r="QFZ64" s="233"/>
      <c r="QGA64" s="231"/>
      <c r="QGB64" s="231"/>
      <c r="QGC64" s="229"/>
      <c r="QGD64" s="230"/>
      <c r="QGE64" s="231"/>
      <c r="QGF64" s="232"/>
      <c r="QGG64" s="233"/>
      <c r="QGH64" s="233"/>
      <c r="QGI64" s="233"/>
      <c r="QGJ64" s="233"/>
      <c r="QGK64" s="233"/>
      <c r="QGL64" s="233"/>
      <c r="QGM64" s="231"/>
      <c r="QGN64" s="231"/>
      <c r="QGO64" s="229"/>
      <c r="QGP64" s="230"/>
      <c r="QGQ64" s="231"/>
      <c r="QGR64" s="232"/>
      <c r="QGS64" s="233"/>
      <c r="QGT64" s="233"/>
      <c r="QGU64" s="233"/>
      <c r="QGV64" s="233"/>
      <c r="QGW64" s="233"/>
      <c r="QGX64" s="233"/>
      <c r="QGY64" s="231"/>
      <c r="QGZ64" s="231"/>
      <c r="QHA64" s="229"/>
      <c r="QHB64" s="230"/>
      <c r="QHC64" s="231"/>
      <c r="QHD64" s="232"/>
      <c r="QHE64" s="233"/>
      <c r="QHF64" s="233"/>
      <c r="QHG64" s="233"/>
      <c r="QHH64" s="233"/>
      <c r="QHI64" s="233"/>
      <c r="QHJ64" s="233"/>
      <c r="QHK64" s="231"/>
      <c r="QHL64" s="231"/>
      <c r="QHM64" s="229"/>
      <c r="QHN64" s="230"/>
      <c r="QHO64" s="231"/>
      <c r="QHP64" s="232"/>
      <c r="QHQ64" s="233"/>
      <c r="QHR64" s="233"/>
      <c r="QHS64" s="233"/>
      <c r="QHT64" s="233"/>
      <c r="QHU64" s="233"/>
      <c r="QHV64" s="233"/>
      <c r="QHW64" s="231"/>
      <c r="QHX64" s="231"/>
      <c r="QHY64" s="229"/>
      <c r="QHZ64" s="230"/>
      <c r="QIA64" s="231"/>
      <c r="QIB64" s="232"/>
      <c r="QIC64" s="233"/>
      <c r="QID64" s="233"/>
      <c r="QIE64" s="233"/>
      <c r="QIF64" s="233"/>
      <c r="QIG64" s="233"/>
      <c r="QIH64" s="233"/>
      <c r="QII64" s="231"/>
      <c r="QIJ64" s="231"/>
      <c r="QIK64" s="229"/>
      <c r="QIL64" s="230"/>
      <c r="QIM64" s="231"/>
      <c r="QIN64" s="232"/>
      <c r="QIO64" s="233"/>
      <c r="QIP64" s="233"/>
      <c r="QIQ64" s="233"/>
      <c r="QIR64" s="233"/>
      <c r="QIS64" s="233"/>
      <c r="QIT64" s="233"/>
      <c r="QIU64" s="231"/>
      <c r="QIV64" s="231"/>
      <c r="QIW64" s="229"/>
      <c r="QIX64" s="230"/>
      <c r="QIY64" s="231"/>
      <c r="QIZ64" s="232"/>
      <c r="QJA64" s="233"/>
      <c r="QJB64" s="233"/>
      <c r="QJC64" s="233"/>
      <c r="QJD64" s="233"/>
      <c r="QJE64" s="233"/>
      <c r="QJF64" s="233"/>
      <c r="QJG64" s="231"/>
      <c r="QJH64" s="231"/>
      <c r="QJI64" s="229"/>
      <c r="QJJ64" s="230"/>
      <c r="QJK64" s="231"/>
      <c r="QJL64" s="232"/>
      <c r="QJM64" s="233"/>
      <c r="QJN64" s="233"/>
      <c r="QJO64" s="233"/>
      <c r="QJP64" s="233"/>
      <c r="QJQ64" s="233"/>
      <c r="QJR64" s="233"/>
      <c r="QJS64" s="231"/>
      <c r="QJT64" s="231"/>
      <c r="QJU64" s="229"/>
      <c r="QJV64" s="230"/>
      <c r="QJW64" s="231"/>
      <c r="QJX64" s="232"/>
      <c r="QJY64" s="233"/>
      <c r="QJZ64" s="233"/>
      <c r="QKA64" s="233"/>
      <c r="QKB64" s="233"/>
      <c r="QKC64" s="233"/>
      <c r="QKD64" s="233"/>
      <c r="QKE64" s="231"/>
      <c r="QKF64" s="231"/>
      <c r="QKG64" s="229"/>
      <c r="QKH64" s="230"/>
      <c r="QKI64" s="231"/>
      <c r="QKJ64" s="232"/>
      <c r="QKK64" s="233"/>
      <c r="QKL64" s="233"/>
      <c r="QKM64" s="233"/>
      <c r="QKN64" s="233"/>
      <c r="QKO64" s="233"/>
      <c r="QKP64" s="233"/>
      <c r="QKQ64" s="231"/>
      <c r="QKR64" s="231"/>
      <c r="QKS64" s="229"/>
      <c r="QKT64" s="230"/>
      <c r="QKU64" s="231"/>
      <c r="QKV64" s="232"/>
      <c r="QKW64" s="233"/>
      <c r="QKX64" s="233"/>
      <c r="QKY64" s="233"/>
      <c r="QKZ64" s="233"/>
      <c r="QLA64" s="233"/>
      <c r="QLB64" s="233"/>
      <c r="QLC64" s="231"/>
      <c r="QLD64" s="231"/>
      <c r="QLE64" s="229"/>
      <c r="QLF64" s="230"/>
      <c r="QLG64" s="231"/>
      <c r="QLH64" s="232"/>
      <c r="QLI64" s="233"/>
      <c r="QLJ64" s="233"/>
      <c r="QLK64" s="233"/>
      <c r="QLL64" s="233"/>
      <c r="QLM64" s="233"/>
      <c r="QLN64" s="233"/>
      <c r="QLO64" s="231"/>
      <c r="QLP64" s="231"/>
      <c r="QLQ64" s="229"/>
      <c r="QLR64" s="230"/>
      <c r="QLS64" s="231"/>
      <c r="QLT64" s="232"/>
      <c r="QLU64" s="233"/>
      <c r="QLV64" s="233"/>
      <c r="QLW64" s="233"/>
      <c r="QLX64" s="233"/>
      <c r="QLY64" s="233"/>
      <c r="QLZ64" s="233"/>
      <c r="QMA64" s="231"/>
      <c r="QMB64" s="231"/>
      <c r="QMC64" s="229"/>
      <c r="QMD64" s="230"/>
      <c r="QME64" s="231"/>
      <c r="QMF64" s="232"/>
      <c r="QMG64" s="233"/>
      <c r="QMH64" s="233"/>
      <c r="QMI64" s="233"/>
      <c r="QMJ64" s="233"/>
      <c r="QMK64" s="233"/>
      <c r="QML64" s="233"/>
      <c r="QMM64" s="231"/>
      <c r="QMN64" s="231"/>
      <c r="QMO64" s="229"/>
      <c r="QMP64" s="230"/>
      <c r="QMQ64" s="231"/>
      <c r="QMR64" s="232"/>
      <c r="QMS64" s="233"/>
      <c r="QMT64" s="233"/>
      <c r="QMU64" s="233"/>
      <c r="QMV64" s="233"/>
      <c r="QMW64" s="233"/>
      <c r="QMX64" s="233"/>
      <c r="QMY64" s="231"/>
      <c r="QMZ64" s="231"/>
      <c r="QNA64" s="229"/>
      <c r="QNB64" s="230"/>
      <c r="QNC64" s="231"/>
      <c r="QND64" s="232"/>
      <c r="QNE64" s="233"/>
      <c r="QNF64" s="233"/>
      <c r="QNG64" s="233"/>
      <c r="QNH64" s="233"/>
      <c r="QNI64" s="233"/>
      <c r="QNJ64" s="233"/>
      <c r="QNK64" s="231"/>
      <c r="QNL64" s="231"/>
      <c r="QNM64" s="229"/>
      <c r="QNN64" s="230"/>
      <c r="QNO64" s="231"/>
      <c r="QNP64" s="232"/>
      <c r="QNQ64" s="233"/>
      <c r="QNR64" s="233"/>
      <c r="QNS64" s="233"/>
      <c r="QNT64" s="233"/>
      <c r="QNU64" s="233"/>
      <c r="QNV64" s="233"/>
      <c r="QNW64" s="231"/>
      <c r="QNX64" s="231"/>
      <c r="QNY64" s="229"/>
      <c r="QNZ64" s="230"/>
      <c r="QOA64" s="231"/>
      <c r="QOB64" s="232"/>
      <c r="QOC64" s="233"/>
      <c r="QOD64" s="233"/>
      <c r="QOE64" s="233"/>
      <c r="QOF64" s="233"/>
      <c r="QOG64" s="233"/>
      <c r="QOH64" s="233"/>
      <c r="QOI64" s="231"/>
      <c r="QOJ64" s="231"/>
      <c r="QOK64" s="229"/>
      <c r="QOL64" s="230"/>
      <c r="QOM64" s="231"/>
      <c r="QON64" s="232"/>
      <c r="QOO64" s="233"/>
      <c r="QOP64" s="233"/>
      <c r="QOQ64" s="233"/>
      <c r="QOR64" s="233"/>
      <c r="QOS64" s="233"/>
      <c r="QOT64" s="233"/>
      <c r="QOU64" s="231"/>
      <c r="QOV64" s="231"/>
      <c r="QOW64" s="229"/>
      <c r="QOX64" s="230"/>
      <c r="QOY64" s="231"/>
      <c r="QOZ64" s="232"/>
      <c r="QPA64" s="233"/>
      <c r="QPB64" s="233"/>
      <c r="QPC64" s="233"/>
      <c r="QPD64" s="233"/>
      <c r="QPE64" s="233"/>
      <c r="QPF64" s="233"/>
      <c r="QPG64" s="231"/>
      <c r="QPH64" s="231"/>
      <c r="QPI64" s="229"/>
      <c r="QPJ64" s="230"/>
      <c r="QPK64" s="231"/>
      <c r="QPL64" s="232"/>
      <c r="QPM64" s="233"/>
      <c r="QPN64" s="233"/>
      <c r="QPO64" s="233"/>
      <c r="QPP64" s="233"/>
      <c r="QPQ64" s="233"/>
      <c r="QPR64" s="233"/>
      <c r="QPS64" s="231"/>
      <c r="QPT64" s="231"/>
      <c r="QPU64" s="229"/>
      <c r="QPV64" s="230"/>
      <c r="QPW64" s="231"/>
      <c r="QPX64" s="232"/>
      <c r="QPY64" s="233"/>
      <c r="QPZ64" s="233"/>
      <c r="QQA64" s="233"/>
      <c r="QQB64" s="233"/>
      <c r="QQC64" s="233"/>
      <c r="QQD64" s="233"/>
      <c r="QQE64" s="231"/>
      <c r="QQF64" s="231"/>
      <c r="QQG64" s="229"/>
      <c r="QQH64" s="230"/>
      <c r="QQI64" s="231"/>
      <c r="QQJ64" s="232"/>
      <c r="QQK64" s="233"/>
      <c r="QQL64" s="233"/>
      <c r="QQM64" s="233"/>
      <c r="QQN64" s="233"/>
      <c r="QQO64" s="233"/>
      <c r="QQP64" s="233"/>
      <c r="QQQ64" s="231"/>
      <c r="QQR64" s="231"/>
      <c r="QQS64" s="229"/>
      <c r="QQT64" s="230"/>
      <c r="QQU64" s="231"/>
      <c r="QQV64" s="232"/>
      <c r="QQW64" s="233"/>
      <c r="QQX64" s="233"/>
      <c r="QQY64" s="233"/>
      <c r="QQZ64" s="233"/>
      <c r="QRA64" s="233"/>
      <c r="QRB64" s="233"/>
      <c r="QRC64" s="231"/>
      <c r="QRD64" s="231"/>
      <c r="QRE64" s="229"/>
      <c r="QRF64" s="230"/>
      <c r="QRG64" s="231"/>
      <c r="QRH64" s="232"/>
      <c r="QRI64" s="233"/>
      <c r="QRJ64" s="233"/>
      <c r="QRK64" s="233"/>
      <c r="QRL64" s="233"/>
      <c r="QRM64" s="233"/>
      <c r="QRN64" s="233"/>
      <c r="QRO64" s="231"/>
      <c r="QRP64" s="231"/>
      <c r="QRQ64" s="229"/>
      <c r="QRR64" s="230"/>
      <c r="QRS64" s="231"/>
      <c r="QRT64" s="232"/>
      <c r="QRU64" s="233"/>
      <c r="QRV64" s="233"/>
      <c r="QRW64" s="233"/>
      <c r="QRX64" s="233"/>
      <c r="QRY64" s="233"/>
      <c r="QRZ64" s="233"/>
      <c r="QSA64" s="231"/>
      <c r="QSB64" s="231"/>
      <c r="QSC64" s="229"/>
      <c r="QSD64" s="230"/>
      <c r="QSE64" s="231"/>
      <c r="QSF64" s="232"/>
      <c r="QSG64" s="233"/>
      <c r="QSH64" s="233"/>
      <c r="QSI64" s="233"/>
      <c r="QSJ64" s="233"/>
      <c r="QSK64" s="233"/>
      <c r="QSL64" s="233"/>
      <c r="QSM64" s="231"/>
      <c r="QSN64" s="231"/>
      <c r="QSO64" s="229"/>
      <c r="QSP64" s="230"/>
      <c r="QSQ64" s="231"/>
      <c r="QSR64" s="232"/>
      <c r="QSS64" s="233"/>
      <c r="QST64" s="233"/>
      <c r="QSU64" s="233"/>
      <c r="QSV64" s="233"/>
      <c r="QSW64" s="233"/>
      <c r="QSX64" s="233"/>
      <c r="QSY64" s="231"/>
      <c r="QSZ64" s="231"/>
      <c r="QTA64" s="229"/>
      <c r="QTB64" s="230"/>
      <c r="QTC64" s="231"/>
      <c r="QTD64" s="232"/>
      <c r="QTE64" s="233"/>
      <c r="QTF64" s="233"/>
      <c r="QTG64" s="233"/>
      <c r="QTH64" s="233"/>
      <c r="QTI64" s="233"/>
      <c r="QTJ64" s="233"/>
      <c r="QTK64" s="231"/>
      <c r="QTL64" s="231"/>
      <c r="QTM64" s="229"/>
      <c r="QTN64" s="230"/>
      <c r="QTO64" s="231"/>
      <c r="QTP64" s="232"/>
      <c r="QTQ64" s="233"/>
      <c r="QTR64" s="233"/>
      <c r="QTS64" s="233"/>
      <c r="QTT64" s="233"/>
      <c r="QTU64" s="233"/>
      <c r="QTV64" s="233"/>
      <c r="QTW64" s="231"/>
      <c r="QTX64" s="231"/>
      <c r="QTY64" s="229"/>
      <c r="QTZ64" s="230"/>
      <c r="QUA64" s="231"/>
      <c r="QUB64" s="232"/>
      <c r="QUC64" s="233"/>
      <c r="QUD64" s="233"/>
      <c r="QUE64" s="233"/>
      <c r="QUF64" s="233"/>
      <c r="QUG64" s="233"/>
      <c r="QUH64" s="233"/>
      <c r="QUI64" s="231"/>
      <c r="QUJ64" s="231"/>
      <c r="QUK64" s="229"/>
      <c r="QUL64" s="230"/>
      <c r="QUM64" s="231"/>
      <c r="QUN64" s="232"/>
      <c r="QUO64" s="233"/>
      <c r="QUP64" s="233"/>
      <c r="QUQ64" s="233"/>
      <c r="QUR64" s="233"/>
      <c r="QUS64" s="233"/>
      <c r="QUT64" s="233"/>
      <c r="QUU64" s="231"/>
      <c r="QUV64" s="231"/>
      <c r="QUW64" s="229"/>
      <c r="QUX64" s="230"/>
      <c r="QUY64" s="231"/>
      <c r="QUZ64" s="232"/>
      <c r="QVA64" s="233"/>
      <c r="QVB64" s="233"/>
      <c r="QVC64" s="233"/>
      <c r="QVD64" s="233"/>
      <c r="QVE64" s="233"/>
      <c r="QVF64" s="233"/>
      <c r="QVG64" s="231"/>
      <c r="QVH64" s="231"/>
      <c r="QVI64" s="229"/>
      <c r="QVJ64" s="230"/>
      <c r="QVK64" s="231"/>
      <c r="QVL64" s="232"/>
      <c r="QVM64" s="233"/>
      <c r="QVN64" s="233"/>
      <c r="QVO64" s="233"/>
      <c r="QVP64" s="233"/>
      <c r="QVQ64" s="233"/>
      <c r="QVR64" s="233"/>
      <c r="QVS64" s="231"/>
      <c r="QVT64" s="231"/>
      <c r="QVU64" s="229"/>
      <c r="QVV64" s="230"/>
      <c r="QVW64" s="231"/>
      <c r="QVX64" s="232"/>
      <c r="QVY64" s="233"/>
      <c r="QVZ64" s="233"/>
      <c r="QWA64" s="233"/>
      <c r="QWB64" s="233"/>
      <c r="QWC64" s="233"/>
      <c r="QWD64" s="233"/>
      <c r="QWE64" s="231"/>
      <c r="QWF64" s="231"/>
      <c r="QWG64" s="229"/>
      <c r="QWH64" s="230"/>
      <c r="QWI64" s="231"/>
      <c r="QWJ64" s="232"/>
      <c r="QWK64" s="233"/>
      <c r="QWL64" s="233"/>
      <c r="QWM64" s="233"/>
      <c r="QWN64" s="233"/>
      <c r="QWO64" s="233"/>
      <c r="QWP64" s="233"/>
      <c r="QWQ64" s="231"/>
      <c r="QWR64" s="231"/>
      <c r="QWS64" s="229"/>
      <c r="QWT64" s="230"/>
      <c r="QWU64" s="231"/>
      <c r="QWV64" s="232"/>
      <c r="QWW64" s="233"/>
      <c r="QWX64" s="233"/>
      <c r="QWY64" s="233"/>
      <c r="QWZ64" s="233"/>
      <c r="QXA64" s="233"/>
      <c r="QXB64" s="233"/>
      <c r="QXC64" s="231"/>
      <c r="QXD64" s="231"/>
      <c r="QXE64" s="229"/>
      <c r="QXF64" s="230"/>
      <c r="QXG64" s="231"/>
      <c r="QXH64" s="232"/>
      <c r="QXI64" s="233"/>
      <c r="QXJ64" s="233"/>
      <c r="QXK64" s="233"/>
      <c r="QXL64" s="233"/>
      <c r="QXM64" s="233"/>
      <c r="QXN64" s="233"/>
      <c r="QXO64" s="231"/>
      <c r="QXP64" s="231"/>
      <c r="QXQ64" s="229"/>
      <c r="QXR64" s="230"/>
      <c r="QXS64" s="231"/>
      <c r="QXT64" s="232"/>
      <c r="QXU64" s="233"/>
      <c r="QXV64" s="233"/>
      <c r="QXW64" s="233"/>
      <c r="QXX64" s="233"/>
      <c r="QXY64" s="233"/>
      <c r="QXZ64" s="233"/>
      <c r="QYA64" s="231"/>
      <c r="QYB64" s="231"/>
      <c r="QYC64" s="229"/>
      <c r="QYD64" s="230"/>
      <c r="QYE64" s="231"/>
      <c r="QYF64" s="232"/>
      <c r="QYG64" s="233"/>
      <c r="QYH64" s="233"/>
      <c r="QYI64" s="233"/>
      <c r="QYJ64" s="233"/>
      <c r="QYK64" s="233"/>
      <c r="QYL64" s="233"/>
      <c r="QYM64" s="231"/>
      <c r="QYN64" s="231"/>
      <c r="QYO64" s="229"/>
      <c r="QYP64" s="230"/>
      <c r="QYQ64" s="231"/>
      <c r="QYR64" s="232"/>
      <c r="QYS64" s="233"/>
      <c r="QYT64" s="233"/>
      <c r="QYU64" s="233"/>
      <c r="QYV64" s="233"/>
      <c r="QYW64" s="233"/>
      <c r="QYX64" s="233"/>
      <c r="QYY64" s="231"/>
      <c r="QYZ64" s="231"/>
      <c r="QZA64" s="229"/>
      <c r="QZB64" s="230"/>
      <c r="QZC64" s="231"/>
      <c r="QZD64" s="232"/>
      <c r="QZE64" s="233"/>
      <c r="QZF64" s="233"/>
      <c r="QZG64" s="233"/>
      <c r="QZH64" s="233"/>
      <c r="QZI64" s="233"/>
      <c r="QZJ64" s="233"/>
      <c r="QZK64" s="231"/>
      <c r="QZL64" s="231"/>
      <c r="QZM64" s="229"/>
      <c r="QZN64" s="230"/>
      <c r="QZO64" s="231"/>
      <c r="QZP64" s="232"/>
      <c r="QZQ64" s="233"/>
      <c r="QZR64" s="233"/>
      <c r="QZS64" s="233"/>
      <c r="QZT64" s="233"/>
      <c r="QZU64" s="233"/>
      <c r="QZV64" s="233"/>
      <c r="QZW64" s="231"/>
      <c r="QZX64" s="231"/>
      <c r="QZY64" s="229"/>
      <c r="QZZ64" s="230"/>
      <c r="RAA64" s="231"/>
      <c r="RAB64" s="232"/>
      <c r="RAC64" s="233"/>
      <c r="RAD64" s="233"/>
      <c r="RAE64" s="233"/>
      <c r="RAF64" s="233"/>
      <c r="RAG64" s="233"/>
      <c r="RAH64" s="233"/>
      <c r="RAI64" s="231"/>
      <c r="RAJ64" s="231"/>
      <c r="RAK64" s="229"/>
      <c r="RAL64" s="230"/>
      <c r="RAM64" s="231"/>
      <c r="RAN64" s="232"/>
      <c r="RAO64" s="233"/>
      <c r="RAP64" s="233"/>
      <c r="RAQ64" s="233"/>
      <c r="RAR64" s="233"/>
      <c r="RAS64" s="233"/>
      <c r="RAT64" s="233"/>
      <c r="RAU64" s="231"/>
      <c r="RAV64" s="231"/>
      <c r="RAW64" s="229"/>
      <c r="RAX64" s="230"/>
      <c r="RAY64" s="231"/>
      <c r="RAZ64" s="232"/>
      <c r="RBA64" s="233"/>
      <c r="RBB64" s="233"/>
      <c r="RBC64" s="233"/>
      <c r="RBD64" s="233"/>
      <c r="RBE64" s="233"/>
      <c r="RBF64" s="233"/>
      <c r="RBG64" s="231"/>
      <c r="RBH64" s="231"/>
      <c r="RBI64" s="229"/>
      <c r="RBJ64" s="230"/>
      <c r="RBK64" s="231"/>
      <c r="RBL64" s="232"/>
      <c r="RBM64" s="233"/>
      <c r="RBN64" s="233"/>
      <c r="RBO64" s="233"/>
      <c r="RBP64" s="233"/>
      <c r="RBQ64" s="233"/>
      <c r="RBR64" s="233"/>
      <c r="RBS64" s="231"/>
      <c r="RBT64" s="231"/>
      <c r="RBU64" s="229"/>
      <c r="RBV64" s="230"/>
      <c r="RBW64" s="231"/>
      <c r="RBX64" s="232"/>
      <c r="RBY64" s="233"/>
      <c r="RBZ64" s="233"/>
      <c r="RCA64" s="233"/>
      <c r="RCB64" s="233"/>
      <c r="RCC64" s="233"/>
      <c r="RCD64" s="233"/>
      <c r="RCE64" s="231"/>
      <c r="RCF64" s="231"/>
      <c r="RCG64" s="229"/>
      <c r="RCH64" s="230"/>
      <c r="RCI64" s="231"/>
      <c r="RCJ64" s="232"/>
      <c r="RCK64" s="233"/>
      <c r="RCL64" s="233"/>
      <c r="RCM64" s="233"/>
      <c r="RCN64" s="233"/>
      <c r="RCO64" s="233"/>
      <c r="RCP64" s="233"/>
      <c r="RCQ64" s="231"/>
      <c r="RCR64" s="231"/>
      <c r="RCS64" s="229"/>
      <c r="RCT64" s="230"/>
      <c r="RCU64" s="231"/>
      <c r="RCV64" s="232"/>
      <c r="RCW64" s="233"/>
      <c r="RCX64" s="233"/>
      <c r="RCY64" s="233"/>
      <c r="RCZ64" s="233"/>
      <c r="RDA64" s="233"/>
      <c r="RDB64" s="233"/>
      <c r="RDC64" s="231"/>
      <c r="RDD64" s="231"/>
      <c r="RDE64" s="229"/>
      <c r="RDF64" s="230"/>
      <c r="RDG64" s="231"/>
      <c r="RDH64" s="232"/>
      <c r="RDI64" s="233"/>
      <c r="RDJ64" s="233"/>
      <c r="RDK64" s="233"/>
      <c r="RDL64" s="233"/>
      <c r="RDM64" s="233"/>
      <c r="RDN64" s="233"/>
      <c r="RDO64" s="231"/>
      <c r="RDP64" s="231"/>
      <c r="RDQ64" s="229"/>
      <c r="RDR64" s="230"/>
      <c r="RDS64" s="231"/>
      <c r="RDT64" s="232"/>
      <c r="RDU64" s="233"/>
      <c r="RDV64" s="233"/>
      <c r="RDW64" s="233"/>
      <c r="RDX64" s="233"/>
      <c r="RDY64" s="233"/>
      <c r="RDZ64" s="233"/>
      <c r="REA64" s="231"/>
      <c r="REB64" s="231"/>
      <c r="REC64" s="229"/>
      <c r="RED64" s="230"/>
      <c r="REE64" s="231"/>
      <c r="REF64" s="232"/>
      <c r="REG64" s="233"/>
      <c r="REH64" s="233"/>
      <c r="REI64" s="233"/>
      <c r="REJ64" s="233"/>
      <c r="REK64" s="233"/>
      <c r="REL64" s="233"/>
      <c r="REM64" s="231"/>
      <c r="REN64" s="231"/>
      <c r="REO64" s="229"/>
      <c r="REP64" s="230"/>
      <c r="REQ64" s="231"/>
      <c r="RER64" s="232"/>
      <c r="RES64" s="233"/>
      <c r="RET64" s="233"/>
      <c r="REU64" s="233"/>
      <c r="REV64" s="233"/>
      <c r="REW64" s="233"/>
      <c r="REX64" s="233"/>
      <c r="REY64" s="231"/>
      <c r="REZ64" s="231"/>
      <c r="RFA64" s="229"/>
      <c r="RFB64" s="230"/>
      <c r="RFC64" s="231"/>
      <c r="RFD64" s="232"/>
      <c r="RFE64" s="233"/>
      <c r="RFF64" s="233"/>
      <c r="RFG64" s="233"/>
      <c r="RFH64" s="233"/>
      <c r="RFI64" s="233"/>
      <c r="RFJ64" s="233"/>
      <c r="RFK64" s="231"/>
      <c r="RFL64" s="231"/>
      <c r="RFM64" s="229"/>
      <c r="RFN64" s="230"/>
      <c r="RFO64" s="231"/>
      <c r="RFP64" s="232"/>
      <c r="RFQ64" s="233"/>
      <c r="RFR64" s="233"/>
      <c r="RFS64" s="233"/>
      <c r="RFT64" s="233"/>
      <c r="RFU64" s="233"/>
      <c r="RFV64" s="233"/>
      <c r="RFW64" s="231"/>
      <c r="RFX64" s="231"/>
      <c r="RFY64" s="229"/>
      <c r="RFZ64" s="230"/>
      <c r="RGA64" s="231"/>
      <c r="RGB64" s="232"/>
      <c r="RGC64" s="233"/>
      <c r="RGD64" s="233"/>
      <c r="RGE64" s="233"/>
      <c r="RGF64" s="233"/>
      <c r="RGG64" s="233"/>
      <c r="RGH64" s="233"/>
      <c r="RGI64" s="231"/>
      <c r="RGJ64" s="231"/>
      <c r="RGK64" s="229"/>
      <c r="RGL64" s="230"/>
      <c r="RGM64" s="231"/>
      <c r="RGN64" s="232"/>
      <c r="RGO64" s="233"/>
      <c r="RGP64" s="233"/>
      <c r="RGQ64" s="233"/>
      <c r="RGR64" s="233"/>
      <c r="RGS64" s="233"/>
      <c r="RGT64" s="233"/>
      <c r="RGU64" s="231"/>
      <c r="RGV64" s="231"/>
      <c r="RGW64" s="229"/>
      <c r="RGX64" s="230"/>
      <c r="RGY64" s="231"/>
      <c r="RGZ64" s="232"/>
      <c r="RHA64" s="233"/>
      <c r="RHB64" s="233"/>
      <c r="RHC64" s="233"/>
      <c r="RHD64" s="233"/>
      <c r="RHE64" s="233"/>
      <c r="RHF64" s="233"/>
      <c r="RHG64" s="231"/>
      <c r="RHH64" s="231"/>
      <c r="RHI64" s="229"/>
      <c r="RHJ64" s="230"/>
      <c r="RHK64" s="231"/>
      <c r="RHL64" s="232"/>
      <c r="RHM64" s="233"/>
      <c r="RHN64" s="233"/>
      <c r="RHO64" s="233"/>
      <c r="RHP64" s="233"/>
      <c r="RHQ64" s="233"/>
      <c r="RHR64" s="233"/>
      <c r="RHS64" s="231"/>
      <c r="RHT64" s="231"/>
      <c r="RHU64" s="229"/>
      <c r="RHV64" s="230"/>
      <c r="RHW64" s="231"/>
      <c r="RHX64" s="232"/>
      <c r="RHY64" s="233"/>
      <c r="RHZ64" s="233"/>
      <c r="RIA64" s="233"/>
      <c r="RIB64" s="233"/>
      <c r="RIC64" s="233"/>
      <c r="RID64" s="233"/>
      <c r="RIE64" s="231"/>
      <c r="RIF64" s="231"/>
      <c r="RIG64" s="229"/>
      <c r="RIH64" s="230"/>
      <c r="RII64" s="231"/>
      <c r="RIJ64" s="232"/>
      <c r="RIK64" s="233"/>
      <c r="RIL64" s="233"/>
      <c r="RIM64" s="233"/>
      <c r="RIN64" s="233"/>
      <c r="RIO64" s="233"/>
      <c r="RIP64" s="233"/>
      <c r="RIQ64" s="231"/>
      <c r="RIR64" s="231"/>
      <c r="RIS64" s="229"/>
      <c r="RIT64" s="230"/>
      <c r="RIU64" s="231"/>
      <c r="RIV64" s="232"/>
      <c r="RIW64" s="233"/>
      <c r="RIX64" s="233"/>
      <c r="RIY64" s="233"/>
      <c r="RIZ64" s="233"/>
      <c r="RJA64" s="233"/>
      <c r="RJB64" s="233"/>
      <c r="RJC64" s="231"/>
      <c r="RJD64" s="231"/>
      <c r="RJE64" s="229"/>
      <c r="RJF64" s="230"/>
      <c r="RJG64" s="231"/>
      <c r="RJH64" s="232"/>
      <c r="RJI64" s="233"/>
      <c r="RJJ64" s="233"/>
      <c r="RJK64" s="233"/>
      <c r="RJL64" s="233"/>
      <c r="RJM64" s="233"/>
      <c r="RJN64" s="233"/>
      <c r="RJO64" s="231"/>
      <c r="RJP64" s="231"/>
      <c r="RJQ64" s="229"/>
      <c r="RJR64" s="230"/>
      <c r="RJS64" s="231"/>
      <c r="RJT64" s="232"/>
      <c r="RJU64" s="233"/>
      <c r="RJV64" s="233"/>
      <c r="RJW64" s="233"/>
      <c r="RJX64" s="233"/>
      <c r="RJY64" s="233"/>
      <c r="RJZ64" s="233"/>
      <c r="RKA64" s="231"/>
      <c r="RKB64" s="231"/>
      <c r="RKC64" s="229"/>
      <c r="RKD64" s="230"/>
      <c r="RKE64" s="231"/>
      <c r="RKF64" s="232"/>
      <c r="RKG64" s="233"/>
      <c r="RKH64" s="233"/>
      <c r="RKI64" s="233"/>
      <c r="RKJ64" s="233"/>
      <c r="RKK64" s="233"/>
      <c r="RKL64" s="233"/>
      <c r="RKM64" s="231"/>
      <c r="RKN64" s="231"/>
      <c r="RKO64" s="229"/>
      <c r="RKP64" s="230"/>
      <c r="RKQ64" s="231"/>
      <c r="RKR64" s="232"/>
      <c r="RKS64" s="233"/>
      <c r="RKT64" s="233"/>
      <c r="RKU64" s="233"/>
      <c r="RKV64" s="233"/>
      <c r="RKW64" s="233"/>
      <c r="RKX64" s="233"/>
      <c r="RKY64" s="231"/>
      <c r="RKZ64" s="231"/>
      <c r="RLA64" s="229"/>
      <c r="RLB64" s="230"/>
      <c r="RLC64" s="231"/>
      <c r="RLD64" s="232"/>
      <c r="RLE64" s="233"/>
      <c r="RLF64" s="233"/>
      <c r="RLG64" s="233"/>
      <c r="RLH64" s="233"/>
      <c r="RLI64" s="233"/>
      <c r="RLJ64" s="233"/>
      <c r="RLK64" s="231"/>
      <c r="RLL64" s="231"/>
      <c r="RLM64" s="229"/>
      <c r="RLN64" s="230"/>
      <c r="RLO64" s="231"/>
      <c r="RLP64" s="232"/>
      <c r="RLQ64" s="233"/>
      <c r="RLR64" s="233"/>
      <c r="RLS64" s="233"/>
      <c r="RLT64" s="233"/>
      <c r="RLU64" s="233"/>
      <c r="RLV64" s="233"/>
      <c r="RLW64" s="231"/>
      <c r="RLX64" s="231"/>
      <c r="RLY64" s="229"/>
      <c r="RLZ64" s="230"/>
      <c r="RMA64" s="231"/>
      <c r="RMB64" s="232"/>
      <c r="RMC64" s="233"/>
      <c r="RMD64" s="233"/>
      <c r="RME64" s="233"/>
      <c r="RMF64" s="233"/>
      <c r="RMG64" s="233"/>
      <c r="RMH64" s="233"/>
      <c r="RMI64" s="231"/>
      <c r="RMJ64" s="231"/>
      <c r="RMK64" s="229"/>
      <c r="RML64" s="230"/>
      <c r="RMM64" s="231"/>
      <c r="RMN64" s="232"/>
      <c r="RMO64" s="233"/>
      <c r="RMP64" s="233"/>
      <c r="RMQ64" s="233"/>
      <c r="RMR64" s="233"/>
      <c r="RMS64" s="233"/>
      <c r="RMT64" s="233"/>
      <c r="RMU64" s="231"/>
      <c r="RMV64" s="231"/>
      <c r="RMW64" s="229"/>
      <c r="RMX64" s="230"/>
      <c r="RMY64" s="231"/>
      <c r="RMZ64" s="232"/>
      <c r="RNA64" s="233"/>
      <c r="RNB64" s="233"/>
      <c r="RNC64" s="233"/>
      <c r="RND64" s="233"/>
      <c r="RNE64" s="233"/>
      <c r="RNF64" s="233"/>
      <c r="RNG64" s="231"/>
      <c r="RNH64" s="231"/>
      <c r="RNI64" s="229"/>
      <c r="RNJ64" s="230"/>
      <c r="RNK64" s="231"/>
      <c r="RNL64" s="232"/>
      <c r="RNM64" s="233"/>
      <c r="RNN64" s="233"/>
      <c r="RNO64" s="233"/>
      <c r="RNP64" s="233"/>
      <c r="RNQ64" s="233"/>
      <c r="RNR64" s="233"/>
      <c r="RNS64" s="231"/>
      <c r="RNT64" s="231"/>
      <c r="RNU64" s="229"/>
      <c r="RNV64" s="230"/>
      <c r="RNW64" s="231"/>
      <c r="RNX64" s="232"/>
      <c r="RNY64" s="233"/>
      <c r="RNZ64" s="233"/>
      <c r="ROA64" s="233"/>
      <c r="ROB64" s="233"/>
      <c r="ROC64" s="233"/>
      <c r="ROD64" s="233"/>
      <c r="ROE64" s="231"/>
      <c r="ROF64" s="231"/>
      <c r="ROG64" s="229"/>
      <c r="ROH64" s="230"/>
      <c r="ROI64" s="231"/>
      <c r="ROJ64" s="232"/>
      <c r="ROK64" s="233"/>
      <c r="ROL64" s="233"/>
      <c r="ROM64" s="233"/>
      <c r="RON64" s="233"/>
      <c r="ROO64" s="233"/>
      <c r="ROP64" s="233"/>
      <c r="ROQ64" s="231"/>
      <c r="ROR64" s="231"/>
      <c r="ROS64" s="229"/>
      <c r="ROT64" s="230"/>
      <c r="ROU64" s="231"/>
      <c r="ROV64" s="232"/>
      <c r="ROW64" s="233"/>
      <c r="ROX64" s="233"/>
      <c r="ROY64" s="233"/>
      <c r="ROZ64" s="233"/>
      <c r="RPA64" s="233"/>
      <c r="RPB64" s="233"/>
      <c r="RPC64" s="231"/>
      <c r="RPD64" s="231"/>
      <c r="RPE64" s="229"/>
      <c r="RPF64" s="230"/>
      <c r="RPG64" s="231"/>
      <c r="RPH64" s="232"/>
      <c r="RPI64" s="233"/>
      <c r="RPJ64" s="233"/>
      <c r="RPK64" s="233"/>
      <c r="RPL64" s="233"/>
      <c r="RPM64" s="233"/>
      <c r="RPN64" s="233"/>
      <c r="RPO64" s="231"/>
      <c r="RPP64" s="231"/>
      <c r="RPQ64" s="229"/>
      <c r="RPR64" s="230"/>
      <c r="RPS64" s="231"/>
      <c r="RPT64" s="232"/>
      <c r="RPU64" s="233"/>
      <c r="RPV64" s="233"/>
      <c r="RPW64" s="233"/>
      <c r="RPX64" s="233"/>
      <c r="RPY64" s="233"/>
      <c r="RPZ64" s="233"/>
      <c r="RQA64" s="231"/>
      <c r="RQB64" s="231"/>
      <c r="RQC64" s="229"/>
      <c r="RQD64" s="230"/>
      <c r="RQE64" s="231"/>
      <c r="RQF64" s="232"/>
      <c r="RQG64" s="233"/>
      <c r="RQH64" s="233"/>
      <c r="RQI64" s="233"/>
      <c r="RQJ64" s="233"/>
      <c r="RQK64" s="233"/>
      <c r="RQL64" s="233"/>
      <c r="RQM64" s="231"/>
      <c r="RQN64" s="231"/>
      <c r="RQO64" s="229"/>
      <c r="RQP64" s="230"/>
      <c r="RQQ64" s="231"/>
      <c r="RQR64" s="232"/>
      <c r="RQS64" s="233"/>
      <c r="RQT64" s="233"/>
      <c r="RQU64" s="233"/>
      <c r="RQV64" s="233"/>
      <c r="RQW64" s="233"/>
      <c r="RQX64" s="233"/>
      <c r="RQY64" s="231"/>
      <c r="RQZ64" s="231"/>
      <c r="RRA64" s="229"/>
      <c r="RRB64" s="230"/>
      <c r="RRC64" s="231"/>
      <c r="RRD64" s="232"/>
      <c r="RRE64" s="233"/>
      <c r="RRF64" s="233"/>
      <c r="RRG64" s="233"/>
      <c r="RRH64" s="233"/>
      <c r="RRI64" s="233"/>
      <c r="RRJ64" s="233"/>
      <c r="RRK64" s="231"/>
      <c r="RRL64" s="231"/>
      <c r="RRM64" s="229"/>
      <c r="RRN64" s="230"/>
      <c r="RRO64" s="231"/>
      <c r="RRP64" s="232"/>
      <c r="RRQ64" s="233"/>
      <c r="RRR64" s="233"/>
      <c r="RRS64" s="233"/>
      <c r="RRT64" s="233"/>
      <c r="RRU64" s="233"/>
      <c r="RRV64" s="233"/>
      <c r="RRW64" s="231"/>
      <c r="RRX64" s="231"/>
      <c r="RRY64" s="229"/>
      <c r="RRZ64" s="230"/>
      <c r="RSA64" s="231"/>
      <c r="RSB64" s="232"/>
      <c r="RSC64" s="233"/>
      <c r="RSD64" s="233"/>
      <c r="RSE64" s="233"/>
      <c r="RSF64" s="233"/>
      <c r="RSG64" s="233"/>
      <c r="RSH64" s="233"/>
      <c r="RSI64" s="231"/>
      <c r="RSJ64" s="231"/>
      <c r="RSK64" s="229"/>
      <c r="RSL64" s="230"/>
      <c r="RSM64" s="231"/>
      <c r="RSN64" s="232"/>
      <c r="RSO64" s="233"/>
      <c r="RSP64" s="233"/>
      <c r="RSQ64" s="233"/>
      <c r="RSR64" s="233"/>
      <c r="RSS64" s="233"/>
      <c r="RST64" s="233"/>
      <c r="RSU64" s="231"/>
      <c r="RSV64" s="231"/>
      <c r="RSW64" s="229"/>
      <c r="RSX64" s="230"/>
      <c r="RSY64" s="231"/>
      <c r="RSZ64" s="232"/>
      <c r="RTA64" s="233"/>
      <c r="RTB64" s="233"/>
      <c r="RTC64" s="233"/>
      <c r="RTD64" s="233"/>
      <c r="RTE64" s="233"/>
      <c r="RTF64" s="233"/>
      <c r="RTG64" s="231"/>
      <c r="RTH64" s="231"/>
      <c r="RTI64" s="229"/>
      <c r="RTJ64" s="230"/>
      <c r="RTK64" s="231"/>
      <c r="RTL64" s="232"/>
      <c r="RTM64" s="233"/>
      <c r="RTN64" s="233"/>
      <c r="RTO64" s="233"/>
      <c r="RTP64" s="233"/>
      <c r="RTQ64" s="233"/>
      <c r="RTR64" s="233"/>
      <c r="RTS64" s="231"/>
      <c r="RTT64" s="231"/>
      <c r="RTU64" s="229"/>
      <c r="RTV64" s="230"/>
      <c r="RTW64" s="231"/>
      <c r="RTX64" s="232"/>
      <c r="RTY64" s="233"/>
      <c r="RTZ64" s="233"/>
      <c r="RUA64" s="233"/>
      <c r="RUB64" s="233"/>
      <c r="RUC64" s="233"/>
      <c r="RUD64" s="233"/>
      <c r="RUE64" s="231"/>
      <c r="RUF64" s="231"/>
      <c r="RUG64" s="229"/>
      <c r="RUH64" s="230"/>
      <c r="RUI64" s="231"/>
      <c r="RUJ64" s="232"/>
      <c r="RUK64" s="233"/>
      <c r="RUL64" s="233"/>
      <c r="RUM64" s="233"/>
      <c r="RUN64" s="233"/>
      <c r="RUO64" s="233"/>
      <c r="RUP64" s="233"/>
      <c r="RUQ64" s="231"/>
      <c r="RUR64" s="231"/>
      <c r="RUS64" s="229"/>
      <c r="RUT64" s="230"/>
      <c r="RUU64" s="231"/>
      <c r="RUV64" s="232"/>
      <c r="RUW64" s="233"/>
      <c r="RUX64" s="233"/>
      <c r="RUY64" s="233"/>
      <c r="RUZ64" s="233"/>
      <c r="RVA64" s="233"/>
      <c r="RVB64" s="233"/>
      <c r="RVC64" s="231"/>
      <c r="RVD64" s="231"/>
      <c r="RVE64" s="229"/>
      <c r="RVF64" s="230"/>
      <c r="RVG64" s="231"/>
      <c r="RVH64" s="232"/>
      <c r="RVI64" s="233"/>
      <c r="RVJ64" s="233"/>
      <c r="RVK64" s="233"/>
      <c r="RVL64" s="233"/>
      <c r="RVM64" s="233"/>
      <c r="RVN64" s="233"/>
      <c r="RVO64" s="231"/>
      <c r="RVP64" s="231"/>
      <c r="RVQ64" s="229"/>
      <c r="RVR64" s="230"/>
      <c r="RVS64" s="231"/>
      <c r="RVT64" s="232"/>
      <c r="RVU64" s="233"/>
      <c r="RVV64" s="233"/>
      <c r="RVW64" s="233"/>
      <c r="RVX64" s="233"/>
      <c r="RVY64" s="233"/>
      <c r="RVZ64" s="233"/>
      <c r="RWA64" s="231"/>
      <c r="RWB64" s="231"/>
      <c r="RWC64" s="229"/>
      <c r="RWD64" s="230"/>
      <c r="RWE64" s="231"/>
      <c r="RWF64" s="232"/>
      <c r="RWG64" s="233"/>
      <c r="RWH64" s="233"/>
      <c r="RWI64" s="233"/>
      <c r="RWJ64" s="233"/>
      <c r="RWK64" s="233"/>
      <c r="RWL64" s="233"/>
      <c r="RWM64" s="231"/>
      <c r="RWN64" s="231"/>
      <c r="RWO64" s="229"/>
      <c r="RWP64" s="230"/>
      <c r="RWQ64" s="231"/>
      <c r="RWR64" s="232"/>
      <c r="RWS64" s="233"/>
      <c r="RWT64" s="233"/>
      <c r="RWU64" s="233"/>
      <c r="RWV64" s="233"/>
      <c r="RWW64" s="233"/>
      <c r="RWX64" s="233"/>
      <c r="RWY64" s="231"/>
      <c r="RWZ64" s="231"/>
      <c r="RXA64" s="229"/>
      <c r="RXB64" s="230"/>
      <c r="RXC64" s="231"/>
      <c r="RXD64" s="232"/>
      <c r="RXE64" s="233"/>
      <c r="RXF64" s="233"/>
      <c r="RXG64" s="233"/>
      <c r="RXH64" s="233"/>
      <c r="RXI64" s="233"/>
      <c r="RXJ64" s="233"/>
      <c r="RXK64" s="231"/>
      <c r="RXL64" s="231"/>
      <c r="RXM64" s="229"/>
      <c r="RXN64" s="230"/>
      <c r="RXO64" s="231"/>
      <c r="RXP64" s="232"/>
      <c r="RXQ64" s="233"/>
      <c r="RXR64" s="233"/>
      <c r="RXS64" s="233"/>
      <c r="RXT64" s="233"/>
      <c r="RXU64" s="233"/>
      <c r="RXV64" s="233"/>
      <c r="RXW64" s="231"/>
      <c r="RXX64" s="231"/>
      <c r="RXY64" s="229"/>
      <c r="RXZ64" s="230"/>
      <c r="RYA64" s="231"/>
      <c r="RYB64" s="232"/>
      <c r="RYC64" s="233"/>
      <c r="RYD64" s="233"/>
      <c r="RYE64" s="233"/>
      <c r="RYF64" s="233"/>
      <c r="RYG64" s="233"/>
      <c r="RYH64" s="233"/>
      <c r="RYI64" s="231"/>
      <c r="RYJ64" s="231"/>
      <c r="RYK64" s="229"/>
      <c r="RYL64" s="230"/>
      <c r="RYM64" s="231"/>
      <c r="RYN64" s="232"/>
      <c r="RYO64" s="233"/>
      <c r="RYP64" s="233"/>
      <c r="RYQ64" s="233"/>
      <c r="RYR64" s="233"/>
      <c r="RYS64" s="233"/>
      <c r="RYT64" s="233"/>
      <c r="RYU64" s="231"/>
      <c r="RYV64" s="231"/>
      <c r="RYW64" s="229"/>
      <c r="RYX64" s="230"/>
      <c r="RYY64" s="231"/>
      <c r="RYZ64" s="232"/>
      <c r="RZA64" s="233"/>
      <c r="RZB64" s="233"/>
      <c r="RZC64" s="233"/>
      <c r="RZD64" s="233"/>
      <c r="RZE64" s="233"/>
      <c r="RZF64" s="233"/>
      <c r="RZG64" s="231"/>
      <c r="RZH64" s="231"/>
      <c r="RZI64" s="229"/>
      <c r="RZJ64" s="230"/>
      <c r="RZK64" s="231"/>
      <c r="RZL64" s="232"/>
      <c r="RZM64" s="233"/>
      <c r="RZN64" s="233"/>
      <c r="RZO64" s="233"/>
      <c r="RZP64" s="233"/>
      <c r="RZQ64" s="233"/>
      <c r="RZR64" s="233"/>
      <c r="RZS64" s="231"/>
      <c r="RZT64" s="231"/>
      <c r="RZU64" s="229"/>
      <c r="RZV64" s="230"/>
      <c r="RZW64" s="231"/>
      <c r="RZX64" s="232"/>
      <c r="RZY64" s="233"/>
      <c r="RZZ64" s="233"/>
      <c r="SAA64" s="233"/>
      <c r="SAB64" s="233"/>
      <c r="SAC64" s="233"/>
      <c r="SAD64" s="233"/>
      <c r="SAE64" s="231"/>
      <c r="SAF64" s="231"/>
      <c r="SAG64" s="229"/>
      <c r="SAH64" s="230"/>
      <c r="SAI64" s="231"/>
      <c r="SAJ64" s="232"/>
      <c r="SAK64" s="233"/>
      <c r="SAL64" s="233"/>
      <c r="SAM64" s="233"/>
      <c r="SAN64" s="233"/>
      <c r="SAO64" s="233"/>
      <c r="SAP64" s="233"/>
      <c r="SAQ64" s="231"/>
      <c r="SAR64" s="231"/>
      <c r="SAS64" s="229"/>
      <c r="SAT64" s="230"/>
      <c r="SAU64" s="231"/>
      <c r="SAV64" s="232"/>
      <c r="SAW64" s="233"/>
      <c r="SAX64" s="233"/>
      <c r="SAY64" s="233"/>
      <c r="SAZ64" s="233"/>
      <c r="SBA64" s="233"/>
      <c r="SBB64" s="233"/>
      <c r="SBC64" s="231"/>
      <c r="SBD64" s="231"/>
      <c r="SBE64" s="229"/>
      <c r="SBF64" s="230"/>
      <c r="SBG64" s="231"/>
      <c r="SBH64" s="232"/>
      <c r="SBI64" s="233"/>
      <c r="SBJ64" s="233"/>
      <c r="SBK64" s="233"/>
      <c r="SBL64" s="233"/>
      <c r="SBM64" s="233"/>
      <c r="SBN64" s="233"/>
      <c r="SBO64" s="231"/>
      <c r="SBP64" s="231"/>
      <c r="SBQ64" s="229"/>
      <c r="SBR64" s="230"/>
      <c r="SBS64" s="231"/>
      <c r="SBT64" s="232"/>
      <c r="SBU64" s="233"/>
      <c r="SBV64" s="233"/>
      <c r="SBW64" s="233"/>
      <c r="SBX64" s="233"/>
      <c r="SBY64" s="233"/>
      <c r="SBZ64" s="233"/>
      <c r="SCA64" s="231"/>
      <c r="SCB64" s="231"/>
      <c r="SCC64" s="229"/>
      <c r="SCD64" s="230"/>
      <c r="SCE64" s="231"/>
      <c r="SCF64" s="232"/>
      <c r="SCG64" s="233"/>
      <c r="SCH64" s="233"/>
      <c r="SCI64" s="233"/>
      <c r="SCJ64" s="233"/>
      <c r="SCK64" s="233"/>
      <c r="SCL64" s="233"/>
      <c r="SCM64" s="231"/>
      <c r="SCN64" s="231"/>
      <c r="SCO64" s="229"/>
      <c r="SCP64" s="230"/>
      <c r="SCQ64" s="231"/>
      <c r="SCR64" s="232"/>
      <c r="SCS64" s="233"/>
      <c r="SCT64" s="233"/>
      <c r="SCU64" s="233"/>
      <c r="SCV64" s="233"/>
      <c r="SCW64" s="233"/>
      <c r="SCX64" s="233"/>
      <c r="SCY64" s="231"/>
      <c r="SCZ64" s="231"/>
      <c r="SDA64" s="229"/>
      <c r="SDB64" s="230"/>
      <c r="SDC64" s="231"/>
      <c r="SDD64" s="232"/>
      <c r="SDE64" s="233"/>
      <c r="SDF64" s="233"/>
      <c r="SDG64" s="233"/>
      <c r="SDH64" s="233"/>
      <c r="SDI64" s="233"/>
      <c r="SDJ64" s="233"/>
      <c r="SDK64" s="231"/>
      <c r="SDL64" s="231"/>
      <c r="SDM64" s="229"/>
      <c r="SDN64" s="230"/>
      <c r="SDO64" s="231"/>
      <c r="SDP64" s="232"/>
      <c r="SDQ64" s="233"/>
      <c r="SDR64" s="233"/>
      <c r="SDS64" s="233"/>
      <c r="SDT64" s="233"/>
      <c r="SDU64" s="233"/>
      <c r="SDV64" s="233"/>
      <c r="SDW64" s="231"/>
      <c r="SDX64" s="231"/>
      <c r="SDY64" s="229"/>
      <c r="SDZ64" s="230"/>
      <c r="SEA64" s="231"/>
      <c r="SEB64" s="232"/>
      <c r="SEC64" s="233"/>
      <c r="SED64" s="233"/>
      <c r="SEE64" s="233"/>
      <c r="SEF64" s="233"/>
      <c r="SEG64" s="233"/>
      <c r="SEH64" s="233"/>
      <c r="SEI64" s="231"/>
      <c r="SEJ64" s="231"/>
      <c r="SEK64" s="229"/>
      <c r="SEL64" s="230"/>
      <c r="SEM64" s="231"/>
      <c r="SEN64" s="232"/>
      <c r="SEO64" s="233"/>
      <c r="SEP64" s="233"/>
      <c r="SEQ64" s="233"/>
      <c r="SER64" s="233"/>
      <c r="SES64" s="233"/>
      <c r="SET64" s="233"/>
      <c r="SEU64" s="231"/>
      <c r="SEV64" s="231"/>
      <c r="SEW64" s="229"/>
      <c r="SEX64" s="230"/>
      <c r="SEY64" s="231"/>
      <c r="SEZ64" s="232"/>
      <c r="SFA64" s="233"/>
      <c r="SFB64" s="233"/>
      <c r="SFC64" s="233"/>
      <c r="SFD64" s="233"/>
      <c r="SFE64" s="233"/>
      <c r="SFF64" s="233"/>
      <c r="SFG64" s="231"/>
      <c r="SFH64" s="231"/>
      <c r="SFI64" s="229"/>
      <c r="SFJ64" s="230"/>
      <c r="SFK64" s="231"/>
      <c r="SFL64" s="232"/>
      <c r="SFM64" s="233"/>
      <c r="SFN64" s="233"/>
      <c r="SFO64" s="233"/>
      <c r="SFP64" s="233"/>
      <c r="SFQ64" s="233"/>
      <c r="SFR64" s="233"/>
      <c r="SFS64" s="231"/>
      <c r="SFT64" s="231"/>
      <c r="SFU64" s="229"/>
      <c r="SFV64" s="230"/>
      <c r="SFW64" s="231"/>
      <c r="SFX64" s="232"/>
      <c r="SFY64" s="233"/>
      <c r="SFZ64" s="233"/>
      <c r="SGA64" s="233"/>
      <c r="SGB64" s="233"/>
      <c r="SGC64" s="233"/>
      <c r="SGD64" s="233"/>
      <c r="SGE64" s="231"/>
      <c r="SGF64" s="231"/>
      <c r="SGG64" s="229"/>
      <c r="SGH64" s="230"/>
      <c r="SGI64" s="231"/>
      <c r="SGJ64" s="232"/>
      <c r="SGK64" s="233"/>
      <c r="SGL64" s="233"/>
      <c r="SGM64" s="233"/>
      <c r="SGN64" s="233"/>
      <c r="SGO64" s="233"/>
      <c r="SGP64" s="233"/>
      <c r="SGQ64" s="231"/>
      <c r="SGR64" s="231"/>
      <c r="SGS64" s="229"/>
      <c r="SGT64" s="230"/>
      <c r="SGU64" s="231"/>
      <c r="SGV64" s="232"/>
      <c r="SGW64" s="233"/>
      <c r="SGX64" s="233"/>
      <c r="SGY64" s="233"/>
      <c r="SGZ64" s="233"/>
      <c r="SHA64" s="233"/>
      <c r="SHB64" s="233"/>
      <c r="SHC64" s="231"/>
      <c r="SHD64" s="231"/>
      <c r="SHE64" s="229"/>
      <c r="SHF64" s="230"/>
      <c r="SHG64" s="231"/>
      <c r="SHH64" s="232"/>
      <c r="SHI64" s="233"/>
      <c r="SHJ64" s="233"/>
      <c r="SHK64" s="233"/>
      <c r="SHL64" s="233"/>
      <c r="SHM64" s="233"/>
      <c r="SHN64" s="233"/>
      <c r="SHO64" s="231"/>
      <c r="SHP64" s="231"/>
      <c r="SHQ64" s="229"/>
      <c r="SHR64" s="230"/>
      <c r="SHS64" s="231"/>
      <c r="SHT64" s="232"/>
      <c r="SHU64" s="233"/>
      <c r="SHV64" s="233"/>
      <c r="SHW64" s="233"/>
      <c r="SHX64" s="233"/>
      <c r="SHY64" s="233"/>
      <c r="SHZ64" s="233"/>
      <c r="SIA64" s="231"/>
      <c r="SIB64" s="231"/>
      <c r="SIC64" s="229"/>
      <c r="SID64" s="230"/>
      <c r="SIE64" s="231"/>
      <c r="SIF64" s="232"/>
      <c r="SIG64" s="233"/>
      <c r="SIH64" s="233"/>
      <c r="SII64" s="233"/>
      <c r="SIJ64" s="233"/>
      <c r="SIK64" s="233"/>
      <c r="SIL64" s="233"/>
      <c r="SIM64" s="231"/>
      <c r="SIN64" s="231"/>
      <c r="SIO64" s="229"/>
      <c r="SIP64" s="230"/>
      <c r="SIQ64" s="231"/>
      <c r="SIR64" s="232"/>
      <c r="SIS64" s="233"/>
      <c r="SIT64" s="233"/>
      <c r="SIU64" s="233"/>
      <c r="SIV64" s="233"/>
      <c r="SIW64" s="233"/>
      <c r="SIX64" s="233"/>
      <c r="SIY64" s="231"/>
      <c r="SIZ64" s="231"/>
      <c r="SJA64" s="229"/>
      <c r="SJB64" s="230"/>
      <c r="SJC64" s="231"/>
      <c r="SJD64" s="232"/>
      <c r="SJE64" s="233"/>
      <c r="SJF64" s="233"/>
      <c r="SJG64" s="233"/>
      <c r="SJH64" s="233"/>
      <c r="SJI64" s="233"/>
      <c r="SJJ64" s="233"/>
      <c r="SJK64" s="231"/>
      <c r="SJL64" s="231"/>
      <c r="SJM64" s="229"/>
      <c r="SJN64" s="230"/>
      <c r="SJO64" s="231"/>
      <c r="SJP64" s="232"/>
      <c r="SJQ64" s="233"/>
      <c r="SJR64" s="233"/>
      <c r="SJS64" s="233"/>
      <c r="SJT64" s="233"/>
      <c r="SJU64" s="233"/>
      <c r="SJV64" s="233"/>
      <c r="SJW64" s="231"/>
      <c r="SJX64" s="231"/>
      <c r="SJY64" s="229"/>
      <c r="SJZ64" s="230"/>
      <c r="SKA64" s="231"/>
      <c r="SKB64" s="232"/>
      <c r="SKC64" s="233"/>
      <c r="SKD64" s="233"/>
      <c r="SKE64" s="233"/>
      <c r="SKF64" s="233"/>
      <c r="SKG64" s="233"/>
      <c r="SKH64" s="233"/>
      <c r="SKI64" s="231"/>
      <c r="SKJ64" s="231"/>
      <c r="SKK64" s="229"/>
      <c r="SKL64" s="230"/>
      <c r="SKM64" s="231"/>
      <c r="SKN64" s="232"/>
      <c r="SKO64" s="233"/>
      <c r="SKP64" s="233"/>
      <c r="SKQ64" s="233"/>
      <c r="SKR64" s="233"/>
      <c r="SKS64" s="233"/>
      <c r="SKT64" s="233"/>
      <c r="SKU64" s="231"/>
      <c r="SKV64" s="231"/>
      <c r="SKW64" s="229"/>
      <c r="SKX64" s="230"/>
      <c r="SKY64" s="231"/>
      <c r="SKZ64" s="232"/>
      <c r="SLA64" s="233"/>
      <c r="SLB64" s="233"/>
      <c r="SLC64" s="233"/>
      <c r="SLD64" s="233"/>
      <c r="SLE64" s="233"/>
      <c r="SLF64" s="233"/>
      <c r="SLG64" s="231"/>
      <c r="SLH64" s="231"/>
      <c r="SLI64" s="229"/>
      <c r="SLJ64" s="230"/>
      <c r="SLK64" s="231"/>
      <c r="SLL64" s="232"/>
      <c r="SLM64" s="233"/>
      <c r="SLN64" s="233"/>
      <c r="SLO64" s="233"/>
      <c r="SLP64" s="233"/>
      <c r="SLQ64" s="233"/>
      <c r="SLR64" s="233"/>
      <c r="SLS64" s="231"/>
      <c r="SLT64" s="231"/>
      <c r="SLU64" s="229"/>
      <c r="SLV64" s="230"/>
      <c r="SLW64" s="231"/>
      <c r="SLX64" s="232"/>
      <c r="SLY64" s="233"/>
      <c r="SLZ64" s="233"/>
      <c r="SMA64" s="233"/>
      <c r="SMB64" s="233"/>
      <c r="SMC64" s="233"/>
      <c r="SMD64" s="233"/>
      <c r="SME64" s="231"/>
      <c r="SMF64" s="231"/>
      <c r="SMG64" s="229"/>
      <c r="SMH64" s="230"/>
      <c r="SMI64" s="231"/>
      <c r="SMJ64" s="232"/>
      <c r="SMK64" s="233"/>
      <c r="SML64" s="233"/>
      <c r="SMM64" s="233"/>
      <c r="SMN64" s="233"/>
      <c r="SMO64" s="233"/>
      <c r="SMP64" s="233"/>
      <c r="SMQ64" s="231"/>
      <c r="SMR64" s="231"/>
      <c r="SMS64" s="229"/>
      <c r="SMT64" s="230"/>
      <c r="SMU64" s="231"/>
      <c r="SMV64" s="232"/>
      <c r="SMW64" s="233"/>
      <c r="SMX64" s="233"/>
      <c r="SMY64" s="233"/>
      <c r="SMZ64" s="233"/>
      <c r="SNA64" s="233"/>
      <c r="SNB64" s="233"/>
      <c r="SNC64" s="231"/>
      <c r="SND64" s="231"/>
      <c r="SNE64" s="229"/>
      <c r="SNF64" s="230"/>
      <c r="SNG64" s="231"/>
      <c r="SNH64" s="232"/>
      <c r="SNI64" s="233"/>
      <c r="SNJ64" s="233"/>
      <c r="SNK64" s="233"/>
      <c r="SNL64" s="233"/>
      <c r="SNM64" s="233"/>
      <c r="SNN64" s="233"/>
      <c r="SNO64" s="231"/>
      <c r="SNP64" s="231"/>
      <c r="SNQ64" s="229"/>
      <c r="SNR64" s="230"/>
      <c r="SNS64" s="231"/>
      <c r="SNT64" s="232"/>
      <c r="SNU64" s="233"/>
      <c r="SNV64" s="233"/>
      <c r="SNW64" s="233"/>
      <c r="SNX64" s="233"/>
      <c r="SNY64" s="233"/>
      <c r="SNZ64" s="233"/>
      <c r="SOA64" s="231"/>
      <c r="SOB64" s="231"/>
      <c r="SOC64" s="229"/>
      <c r="SOD64" s="230"/>
      <c r="SOE64" s="231"/>
      <c r="SOF64" s="232"/>
      <c r="SOG64" s="233"/>
      <c r="SOH64" s="233"/>
      <c r="SOI64" s="233"/>
      <c r="SOJ64" s="233"/>
      <c r="SOK64" s="233"/>
      <c r="SOL64" s="233"/>
      <c r="SOM64" s="231"/>
      <c r="SON64" s="231"/>
      <c r="SOO64" s="229"/>
      <c r="SOP64" s="230"/>
      <c r="SOQ64" s="231"/>
      <c r="SOR64" s="232"/>
      <c r="SOS64" s="233"/>
      <c r="SOT64" s="233"/>
      <c r="SOU64" s="233"/>
      <c r="SOV64" s="233"/>
      <c r="SOW64" s="233"/>
      <c r="SOX64" s="233"/>
      <c r="SOY64" s="231"/>
      <c r="SOZ64" s="231"/>
      <c r="SPA64" s="229"/>
      <c r="SPB64" s="230"/>
      <c r="SPC64" s="231"/>
      <c r="SPD64" s="232"/>
      <c r="SPE64" s="233"/>
      <c r="SPF64" s="233"/>
      <c r="SPG64" s="233"/>
      <c r="SPH64" s="233"/>
      <c r="SPI64" s="233"/>
      <c r="SPJ64" s="233"/>
      <c r="SPK64" s="231"/>
      <c r="SPL64" s="231"/>
      <c r="SPM64" s="229"/>
      <c r="SPN64" s="230"/>
      <c r="SPO64" s="231"/>
      <c r="SPP64" s="232"/>
      <c r="SPQ64" s="233"/>
      <c r="SPR64" s="233"/>
      <c r="SPS64" s="233"/>
      <c r="SPT64" s="233"/>
      <c r="SPU64" s="233"/>
      <c r="SPV64" s="233"/>
      <c r="SPW64" s="231"/>
      <c r="SPX64" s="231"/>
      <c r="SPY64" s="229"/>
      <c r="SPZ64" s="230"/>
      <c r="SQA64" s="231"/>
      <c r="SQB64" s="232"/>
      <c r="SQC64" s="233"/>
      <c r="SQD64" s="233"/>
      <c r="SQE64" s="233"/>
      <c r="SQF64" s="233"/>
      <c r="SQG64" s="233"/>
      <c r="SQH64" s="233"/>
      <c r="SQI64" s="231"/>
      <c r="SQJ64" s="231"/>
      <c r="SQK64" s="229"/>
      <c r="SQL64" s="230"/>
      <c r="SQM64" s="231"/>
      <c r="SQN64" s="232"/>
      <c r="SQO64" s="233"/>
      <c r="SQP64" s="233"/>
      <c r="SQQ64" s="233"/>
      <c r="SQR64" s="233"/>
      <c r="SQS64" s="233"/>
      <c r="SQT64" s="233"/>
      <c r="SQU64" s="231"/>
      <c r="SQV64" s="231"/>
      <c r="SQW64" s="229"/>
      <c r="SQX64" s="230"/>
      <c r="SQY64" s="231"/>
      <c r="SQZ64" s="232"/>
      <c r="SRA64" s="233"/>
      <c r="SRB64" s="233"/>
      <c r="SRC64" s="233"/>
      <c r="SRD64" s="233"/>
      <c r="SRE64" s="233"/>
      <c r="SRF64" s="233"/>
      <c r="SRG64" s="231"/>
      <c r="SRH64" s="231"/>
      <c r="SRI64" s="229"/>
      <c r="SRJ64" s="230"/>
      <c r="SRK64" s="231"/>
      <c r="SRL64" s="232"/>
      <c r="SRM64" s="233"/>
      <c r="SRN64" s="233"/>
      <c r="SRO64" s="233"/>
      <c r="SRP64" s="233"/>
      <c r="SRQ64" s="233"/>
      <c r="SRR64" s="233"/>
      <c r="SRS64" s="231"/>
      <c r="SRT64" s="231"/>
      <c r="SRU64" s="229"/>
      <c r="SRV64" s="230"/>
      <c r="SRW64" s="231"/>
      <c r="SRX64" s="232"/>
      <c r="SRY64" s="233"/>
      <c r="SRZ64" s="233"/>
      <c r="SSA64" s="233"/>
      <c r="SSB64" s="233"/>
      <c r="SSC64" s="233"/>
      <c r="SSD64" s="233"/>
      <c r="SSE64" s="231"/>
      <c r="SSF64" s="231"/>
      <c r="SSG64" s="229"/>
      <c r="SSH64" s="230"/>
      <c r="SSI64" s="231"/>
      <c r="SSJ64" s="232"/>
      <c r="SSK64" s="233"/>
      <c r="SSL64" s="233"/>
      <c r="SSM64" s="233"/>
      <c r="SSN64" s="233"/>
      <c r="SSO64" s="233"/>
      <c r="SSP64" s="233"/>
      <c r="SSQ64" s="231"/>
      <c r="SSR64" s="231"/>
      <c r="SSS64" s="229"/>
      <c r="SST64" s="230"/>
      <c r="SSU64" s="231"/>
      <c r="SSV64" s="232"/>
      <c r="SSW64" s="233"/>
      <c r="SSX64" s="233"/>
      <c r="SSY64" s="233"/>
      <c r="SSZ64" s="233"/>
      <c r="STA64" s="233"/>
      <c r="STB64" s="233"/>
      <c r="STC64" s="231"/>
      <c r="STD64" s="231"/>
      <c r="STE64" s="229"/>
      <c r="STF64" s="230"/>
      <c r="STG64" s="231"/>
      <c r="STH64" s="232"/>
      <c r="STI64" s="233"/>
      <c r="STJ64" s="233"/>
      <c r="STK64" s="233"/>
      <c r="STL64" s="233"/>
      <c r="STM64" s="233"/>
      <c r="STN64" s="233"/>
      <c r="STO64" s="231"/>
      <c r="STP64" s="231"/>
      <c r="STQ64" s="229"/>
      <c r="STR64" s="230"/>
      <c r="STS64" s="231"/>
      <c r="STT64" s="232"/>
      <c r="STU64" s="233"/>
      <c r="STV64" s="233"/>
      <c r="STW64" s="233"/>
      <c r="STX64" s="233"/>
      <c r="STY64" s="233"/>
      <c r="STZ64" s="233"/>
      <c r="SUA64" s="231"/>
      <c r="SUB64" s="231"/>
      <c r="SUC64" s="229"/>
      <c r="SUD64" s="230"/>
      <c r="SUE64" s="231"/>
      <c r="SUF64" s="232"/>
      <c r="SUG64" s="233"/>
      <c r="SUH64" s="233"/>
      <c r="SUI64" s="233"/>
      <c r="SUJ64" s="233"/>
      <c r="SUK64" s="233"/>
      <c r="SUL64" s="233"/>
      <c r="SUM64" s="231"/>
      <c r="SUN64" s="231"/>
      <c r="SUO64" s="229"/>
      <c r="SUP64" s="230"/>
      <c r="SUQ64" s="231"/>
      <c r="SUR64" s="232"/>
      <c r="SUS64" s="233"/>
      <c r="SUT64" s="233"/>
      <c r="SUU64" s="233"/>
      <c r="SUV64" s="233"/>
      <c r="SUW64" s="233"/>
      <c r="SUX64" s="233"/>
      <c r="SUY64" s="231"/>
      <c r="SUZ64" s="231"/>
      <c r="SVA64" s="229"/>
      <c r="SVB64" s="230"/>
      <c r="SVC64" s="231"/>
      <c r="SVD64" s="232"/>
      <c r="SVE64" s="233"/>
      <c r="SVF64" s="233"/>
      <c r="SVG64" s="233"/>
      <c r="SVH64" s="233"/>
      <c r="SVI64" s="233"/>
      <c r="SVJ64" s="233"/>
      <c r="SVK64" s="231"/>
      <c r="SVL64" s="231"/>
      <c r="SVM64" s="229"/>
      <c r="SVN64" s="230"/>
      <c r="SVO64" s="231"/>
      <c r="SVP64" s="232"/>
      <c r="SVQ64" s="233"/>
      <c r="SVR64" s="233"/>
      <c r="SVS64" s="233"/>
      <c r="SVT64" s="233"/>
      <c r="SVU64" s="233"/>
      <c r="SVV64" s="233"/>
      <c r="SVW64" s="231"/>
      <c r="SVX64" s="231"/>
      <c r="SVY64" s="229"/>
      <c r="SVZ64" s="230"/>
      <c r="SWA64" s="231"/>
      <c r="SWB64" s="232"/>
      <c r="SWC64" s="233"/>
      <c r="SWD64" s="233"/>
      <c r="SWE64" s="233"/>
      <c r="SWF64" s="233"/>
      <c r="SWG64" s="233"/>
      <c r="SWH64" s="233"/>
      <c r="SWI64" s="231"/>
      <c r="SWJ64" s="231"/>
      <c r="SWK64" s="229"/>
      <c r="SWL64" s="230"/>
      <c r="SWM64" s="231"/>
      <c r="SWN64" s="232"/>
      <c r="SWO64" s="233"/>
      <c r="SWP64" s="233"/>
      <c r="SWQ64" s="233"/>
      <c r="SWR64" s="233"/>
      <c r="SWS64" s="233"/>
      <c r="SWT64" s="233"/>
      <c r="SWU64" s="231"/>
      <c r="SWV64" s="231"/>
      <c r="SWW64" s="229"/>
      <c r="SWX64" s="230"/>
      <c r="SWY64" s="231"/>
      <c r="SWZ64" s="232"/>
      <c r="SXA64" s="233"/>
      <c r="SXB64" s="233"/>
      <c r="SXC64" s="233"/>
      <c r="SXD64" s="233"/>
      <c r="SXE64" s="233"/>
      <c r="SXF64" s="233"/>
      <c r="SXG64" s="231"/>
      <c r="SXH64" s="231"/>
      <c r="SXI64" s="229"/>
      <c r="SXJ64" s="230"/>
      <c r="SXK64" s="231"/>
      <c r="SXL64" s="232"/>
      <c r="SXM64" s="233"/>
      <c r="SXN64" s="233"/>
      <c r="SXO64" s="233"/>
      <c r="SXP64" s="233"/>
      <c r="SXQ64" s="233"/>
      <c r="SXR64" s="233"/>
      <c r="SXS64" s="231"/>
      <c r="SXT64" s="231"/>
      <c r="SXU64" s="229"/>
      <c r="SXV64" s="230"/>
      <c r="SXW64" s="231"/>
      <c r="SXX64" s="232"/>
      <c r="SXY64" s="233"/>
      <c r="SXZ64" s="233"/>
      <c r="SYA64" s="233"/>
      <c r="SYB64" s="233"/>
      <c r="SYC64" s="233"/>
      <c r="SYD64" s="233"/>
      <c r="SYE64" s="231"/>
      <c r="SYF64" s="231"/>
      <c r="SYG64" s="229"/>
      <c r="SYH64" s="230"/>
      <c r="SYI64" s="231"/>
      <c r="SYJ64" s="232"/>
      <c r="SYK64" s="233"/>
      <c r="SYL64" s="233"/>
      <c r="SYM64" s="233"/>
      <c r="SYN64" s="233"/>
      <c r="SYO64" s="233"/>
      <c r="SYP64" s="233"/>
      <c r="SYQ64" s="231"/>
      <c r="SYR64" s="231"/>
      <c r="SYS64" s="229"/>
      <c r="SYT64" s="230"/>
      <c r="SYU64" s="231"/>
      <c r="SYV64" s="232"/>
      <c r="SYW64" s="233"/>
      <c r="SYX64" s="233"/>
      <c r="SYY64" s="233"/>
      <c r="SYZ64" s="233"/>
      <c r="SZA64" s="233"/>
      <c r="SZB64" s="233"/>
      <c r="SZC64" s="231"/>
      <c r="SZD64" s="231"/>
      <c r="SZE64" s="229"/>
      <c r="SZF64" s="230"/>
      <c r="SZG64" s="231"/>
      <c r="SZH64" s="232"/>
      <c r="SZI64" s="233"/>
      <c r="SZJ64" s="233"/>
      <c r="SZK64" s="233"/>
      <c r="SZL64" s="233"/>
      <c r="SZM64" s="233"/>
      <c r="SZN64" s="233"/>
      <c r="SZO64" s="231"/>
      <c r="SZP64" s="231"/>
      <c r="SZQ64" s="229"/>
      <c r="SZR64" s="230"/>
      <c r="SZS64" s="231"/>
      <c r="SZT64" s="232"/>
      <c r="SZU64" s="233"/>
      <c r="SZV64" s="233"/>
      <c r="SZW64" s="233"/>
      <c r="SZX64" s="233"/>
      <c r="SZY64" s="233"/>
      <c r="SZZ64" s="233"/>
      <c r="TAA64" s="231"/>
      <c r="TAB64" s="231"/>
      <c r="TAC64" s="229"/>
      <c r="TAD64" s="230"/>
      <c r="TAE64" s="231"/>
      <c r="TAF64" s="232"/>
      <c r="TAG64" s="233"/>
      <c r="TAH64" s="233"/>
      <c r="TAI64" s="233"/>
      <c r="TAJ64" s="233"/>
      <c r="TAK64" s="233"/>
      <c r="TAL64" s="233"/>
      <c r="TAM64" s="231"/>
      <c r="TAN64" s="231"/>
      <c r="TAO64" s="229"/>
      <c r="TAP64" s="230"/>
      <c r="TAQ64" s="231"/>
      <c r="TAR64" s="232"/>
      <c r="TAS64" s="233"/>
      <c r="TAT64" s="233"/>
      <c r="TAU64" s="233"/>
      <c r="TAV64" s="233"/>
      <c r="TAW64" s="233"/>
      <c r="TAX64" s="233"/>
      <c r="TAY64" s="231"/>
      <c r="TAZ64" s="231"/>
      <c r="TBA64" s="229"/>
      <c r="TBB64" s="230"/>
      <c r="TBC64" s="231"/>
      <c r="TBD64" s="232"/>
      <c r="TBE64" s="233"/>
      <c r="TBF64" s="233"/>
      <c r="TBG64" s="233"/>
      <c r="TBH64" s="233"/>
      <c r="TBI64" s="233"/>
      <c r="TBJ64" s="233"/>
      <c r="TBK64" s="231"/>
      <c r="TBL64" s="231"/>
      <c r="TBM64" s="229"/>
      <c r="TBN64" s="230"/>
      <c r="TBO64" s="231"/>
      <c r="TBP64" s="232"/>
      <c r="TBQ64" s="233"/>
      <c r="TBR64" s="233"/>
      <c r="TBS64" s="233"/>
      <c r="TBT64" s="233"/>
      <c r="TBU64" s="233"/>
      <c r="TBV64" s="233"/>
      <c r="TBW64" s="231"/>
      <c r="TBX64" s="231"/>
      <c r="TBY64" s="229"/>
      <c r="TBZ64" s="230"/>
      <c r="TCA64" s="231"/>
      <c r="TCB64" s="232"/>
      <c r="TCC64" s="233"/>
      <c r="TCD64" s="233"/>
      <c r="TCE64" s="233"/>
      <c r="TCF64" s="233"/>
      <c r="TCG64" s="233"/>
      <c r="TCH64" s="233"/>
      <c r="TCI64" s="231"/>
      <c r="TCJ64" s="231"/>
      <c r="TCK64" s="229"/>
      <c r="TCL64" s="230"/>
      <c r="TCM64" s="231"/>
      <c r="TCN64" s="232"/>
      <c r="TCO64" s="233"/>
      <c r="TCP64" s="233"/>
      <c r="TCQ64" s="233"/>
      <c r="TCR64" s="233"/>
      <c r="TCS64" s="233"/>
      <c r="TCT64" s="233"/>
      <c r="TCU64" s="231"/>
      <c r="TCV64" s="231"/>
      <c r="TCW64" s="229"/>
      <c r="TCX64" s="230"/>
      <c r="TCY64" s="231"/>
      <c r="TCZ64" s="232"/>
      <c r="TDA64" s="233"/>
      <c r="TDB64" s="233"/>
      <c r="TDC64" s="233"/>
      <c r="TDD64" s="233"/>
      <c r="TDE64" s="233"/>
      <c r="TDF64" s="233"/>
      <c r="TDG64" s="231"/>
      <c r="TDH64" s="231"/>
      <c r="TDI64" s="229"/>
      <c r="TDJ64" s="230"/>
      <c r="TDK64" s="231"/>
      <c r="TDL64" s="232"/>
      <c r="TDM64" s="233"/>
      <c r="TDN64" s="233"/>
      <c r="TDO64" s="233"/>
      <c r="TDP64" s="233"/>
      <c r="TDQ64" s="233"/>
      <c r="TDR64" s="233"/>
      <c r="TDS64" s="231"/>
      <c r="TDT64" s="231"/>
      <c r="TDU64" s="229"/>
      <c r="TDV64" s="230"/>
      <c r="TDW64" s="231"/>
      <c r="TDX64" s="232"/>
      <c r="TDY64" s="233"/>
      <c r="TDZ64" s="233"/>
      <c r="TEA64" s="233"/>
      <c r="TEB64" s="233"/>
      <c r="TEC64" s="233"/>
      <c r="TED64" s="233"/>
      <c r="TEE64" s="231"/>
      <c r="TEF64" s="231"/>
      <c r="TEG64" s="229"/>
      <c r="TEH64" s="230"/>
      <c r="TEI64" s="231"/>
      <c r="TEJ64" s="232"/>
      <c r="TEK64" s="233"/>
      <c r="TEL64" s="233"/>
      <c r="TEM64" s="233"/>
      <c r="TEN64" s="233"/>
      <c r="TEO64" s="233"/>
      <c r="TEP64" s="233"/>
      <c r="TEQ64" s="231"/>
      <c r="TER64" s="231"/>
      <c r="TES64" s="229"/>
      <c r="TET64" s="230"/>
      <c r="TEU64" s="231"/>
      <c r="TEV64" s="232"/>
      <c r="TEW64" s="233"/>
      <c r="TEX64" s="233"/>
      <c r="TEY64" s="233"/>
      <c r="TEZ64" s="233"/>
      <c r="TFA64" s="233"/>
      <c r="TFB64" s="233"/>
      <c r="TFC64" s="231"/>
      <c r="TFD64" s="231"/>
      <c r="TFE64" s="229"/>
      <c r="TFF64" s="230"/>
      <c r="TFG64" s="231"/>
      <c r="TFH64" s="232"/>
      <c r="TFI64" s="233"/>
      <c r="TFJ64" s="233"/>
      <c r="TFK64" s="233"/>
      <c r="TFL64" s="233"/>
      <c r="TFM64" s="233"/>
      <c r="TFN64" s="233"/>
      <c r="TFO64" s="231"/>
      <c r="TFP64" s="231"/>
      <c r="TFQ64" s="229"/>
      <c r="TFR64" s="230"/>
      <c r="TFS64" s="231"/>
      <c r="TFT64" s="232"/>
      <c r="TFU64" s="233"/>
      <c r="TFV64" s="233"/>
      <c r="TFW64" s="233"/>
      <c r="TFX64" s="233"/>
      <c r="TFY64" s="233"/>
      <c r="TFZ64" s="233"/>
      <c r="TGA64" s="231"/>
      <c r="TGB64" s="231"/>
      <c r="TGC64" s="229"/>
      <c r="TGD64" s="230"/>
      <c r="TGE64" s="231"/>
      <c r="TGF64" s="232"/>
      <c r="TGG64" s="233"/>
      <c r="TGH64" s="233"/>
      <c r="TGI64" s="233"/>
      <c r="TGJ64" s="233"/>
      <c r="TGK64" s="233"/>
      <c r="TGL64" s="233"/>
      <c r="TGM64" s="231"/>
      <c r="TGN64" s="231"/>
      <c r="TGO64" s="229"/>
      <c r="TGP64" s="230"/>
      <c r="TGQ64" s="231"/>
      <c r="TGR64" s="232"/>
      <c r="TGS64" s="233"/>
      <c r="TGT64" s="233"/>
      <c r="TGU64" s="233"/>
      <c r="TGV64" s="233"/>
      <c r="TGW64" s="233"/>
      <c r="TGX64" s="233"/>
      <c r="TGY64" s="231"/>
      <c r="TGZ64" s="231"/>
      <c r="THA64" s="229"/>
      <c r="THB64" s="230"/>
      <c r="THC64" s="231"/>
      <c r="THD64" s="232"/>
      <c r="THE64" s="233"/>
      <c r="THF64" s="233"/>
      <c r="THG64" s="233"/>
      <c r="THH64" s="233"/>
      <c r="THI64" s="233"/>
      <c r="THJ64" s="233"/>
      <c r="THK64" s="231"/>
      <c r="THL64" s="231"/>
      <c r="THM64" s="229"/>
      <c r="THN64" s="230"/>
      <c r="THO64" s="231"/>
      <c r="THP64" s="232"/>
      <c r="THQ64" s="233"/>
      <c r="THR64" s="233"/>
      <c r="THS64" s="233"/>
      <c r="THT64" s="233"/>
      <c r="THU64" s="233"/>
      <c r="THV64" s="233"/>
      <c r="THW64" s="231"/>
      <c r="THX64" s="231"/>
      <c r="THY64" s="229"/>
      <c r="THZ64" s="230"/>
      <c r="TIA64" s="231"/>
      <c r="TIB64" s="232"/>
      <c r="TIC64" s="233"/>
      <c r="TID64" s="233"/>
      <c r="TIE64" s="233"/>
      <c r="TIF64" s="233"/>
      <c r="TIG64" s="233"/>
      <c r="TIH64" s="233"/>
      <c r="TII64" s="231"/>
      <c r="TIJ64" s="231"/>
      <c r="TIK64" s="229"/>
      <c r="TIL64" s="230"/>
      <c r="TIM64" s="231"/>
      <c r="TIN64" s="232"/>
      <c r="TIO64" s="233"/>
      <c r="TIP64" s="233"/>
      <c r="TIQ64" s="233"/>
      <c r="TIR64" s="233"/>
      <c r="TIS64" s="233"/>
      <c r="TIT64" s="233"/>
      <c r="TIU64" s="231"/>
      <c r="TIV64" s="231"/>
      <c r="TIW64" s="229"/>
      <c r="TIX64" s="230"/>
      <c r="TIY64" s="231"/>
      <c r="TIZ64" s="232"/>
      <c r="TJA64" s="233"/>
      <c r="TJB64" s="233"/>
      <c r="TJC64" s="233"/>
      <c r="TJD64" s="233"/>
      <c r="TJE64" s="233"/>
      <c r="TJF64" s="233"/>
      <c r="TJG64" s="231"/>
      <c r="TJH64" s="231"/>
      <c r="TJI64" s="229"/>
      <c r="TJJ64" s="230"/>
      <c r="TJK64" s="231"/>
      <c r="TJL64" s="232"/>
      <c r="TJM64" s="233"/>
      <c r="TJN64" s="233"/>
      <c r="TJO64" s="233"/>
      <c r="TJP64" s="233"/>
      <c r="TJQ64" s="233"/>
      <c r="TJR64" s="233"/>
      <c r="TJS64" s="231"/>
      <c r="TJT64" s="231"/>
      <c r="TJU64" s="229"/>
      <c r="TJV64" s="230"/>
      <c r="TJW64" s="231"/>
      <c r="TJX64" s="232"/>
      <c r="TJY64" s="233"/>
      <c r="TJZ64" s="233"/>
      <c r="TKA64" s="233"/>
      <c r="TKB64" s="233"/>
      <c r="TKC64" s="233"/>
      <c r="TKD64" s="233"/>
      <c r="TKE64" s="231"/>
      <c r="TKF64" s="231"/>
      <c r="TKG64" s="229"/>
      <c r="TKH64" s="230"/>
      <c r="TKI64" s="231"/>
      <c r="TKJ64" s="232"/>
      <c r="TKK64" s="233"/>
      <c r="TKL64" s="233"/>
      <c r="TKM64" s="233"/>
      <c r="TKN64" s="233"/>
      <c r="TKO64" s="233"/>
      <c r="TKP64" s="233"/>
      <c r="TKQ64" s="231"/>
      <c r="TKR64" s="231"/>
      <c r="TKS64" s="229"/>
      <c r="TKT64" s="230"/>
      <c r="TKU64" s="231"/>
      <c r="TKV64" s="232"/>
      <c r="TKW64" s="233"/>
      <c r="TKX64" s="233"/>
      <c r="TKY64" s="233"/>
      <c r="TKZ64" s="233"/>
      <c r="TLA64" s="233"/>
      <c r="TLB64" s="233"/>
      <c r="TLC64" s="231"/>
      <c r="TLD64" s="231"/>
      <c r="TLE64" s="229"/>
      <c r="TLF64" s="230"/>
      <c r="TLG64" s="231"/>
      <c r="TLH64" s="232"/>
      <c r="TLI64" s="233"/>
      <c r="TLJ64" s="233"/>
      <c r="TLK64" s="233"/>
      <c r="TLL64" s="233"/>
      <c r="TLM64" s="233"/>
      <c r="TLN64" s="233"/>
      <c r="TLO64" s="231"/>
      <c r="TLP64" s="231"/>
      <c r="TLQ64" s="229"/>
      <c r="TLR64" s="230"/>
      <c r="TLS64" s="231"/>
      <c r="TLT64" s="232"/>
      <c r="TLU64" s="233"/>
      <c r="TLV64" s="233"/>
      <c r="TLW64" s="233"/>
      <c r="TLX64" s="233"/>
      <c r="TLY64" s="233"/>
      <c r="TLZ64" s="233"/>
      <c r="TMA64" s="231"/>
      <c r="TMB64" s="231"/>
      <c r="TMC64" s="229"/>
      <c r="TMD64" s="230"/>
      <c r="TME64" s="231"/>
      <c r="TMF64" s="232"/>
      <c r="TMG64" s="233"/>
      <c r="TMH64" s="233"/>
      <c r="TMI64" s="233"/>
      <c r="TMJ64" s="233"/>
      <c r="TMK64" s="233"/>
      <c r="TML64" s="233"/>
      <c r="TMM64" s="231"/>
      <c r="TMN64" s="231"/>
      <c r="TMO64" s="229"/>
      <c r="TMP64" s="230"/>
      <c r="TMQ64" s="231"/>
      <c r="TMR64" s="232"/>
      <c r="TMS64" s="233"/>
      <c r="TMT64" s="233"/>
      <c r="TMU64" s="233"/>
      <c r="TMV64" s="233"/>
      <c r="TMW64" s="233"/>
      <c r="TMX64" s="233"/>
      <c r="TMY64" s="231"/>
      <c r="TMZ64" s="231"/>
      <c r="TNA64" s="229"/>
      <c r="TNB64" s="230"/>
      <c r="TNC64" s="231"/>
      <c r="TND64" s="232"/>
      <c r="TNE64" s="233"/>
      <c r="TNF64" s="233"/>
      <c r="TNG64" s="233"/>
      <c r="TNH64" s="233"/>
      <c r="TNI64" s="233"/>
      <c r="TNJ64" s="233"/>
      <c r="TNK64" s="231"/>
      <c r="TNL64" s="231"/>
      <c r="TNM64" s="229"/>
      <c r="TNN64" s="230"/>
      <c r="TNO64" s="231"/>
      <c r="TNP64" s="232"/>
      <c r="TNQ64" s="233"/>
      <c r="TNR64" s="233"/>
      <c r="TNS64" s="233"/>
      <c r="TNT64" s="233"/>
      <c r="TNU64" s="233"/>
      <c r="TNV64" s="233"/>
      <c r="TNW64" s="231"/>
      <c r="TNX64" s="231"/>
      <c r="TNY64" s="229"/>
      <c r="TNZ64" s="230"/>
      <c r="TOA64" s="231"/>
      <c r="TOB64" s="232"/>
      <c r="TOC64" s="233"/>
      <c r="TOD64" s="233"/>
      <c r="TOE64" s="233"/>
      <c r="TOF64" s="233"/>
      <c r="TOG64" s="233"/>
      <c r="TOH64" s="233"/>
      <c r="TOI64" s="231"/>
      <c r="TOJ64" s="231"/>
      <c r="TOK64" s="229"/>
      <c r="TOL64" s="230"/>
      <c r="TOM64" s="231"/>
      <c r="TON64" s="232"/>
      <c r="TOO64" s="233"/>
      <c r="TOP64" s="233"/>
      <c r="TOQ64" s="233"/>
      <c r="TOR64" s="233"/>
      <c r="TOS64" s="233"/>
      <c r="TOT64" s="233"/>
      <c r="TOU64" s="231"/>
      <c r="TOV64" s="231"/>
      <c r="TOW64" s="229"/>
      <c r="TOX64" s="230"/>
      <c r="TOY64" s="231"/>
      <c r="TOZ64" s="232"/>
      <c r="TPA64" s="233"/>
      <c r="TPB64" s="233"/>
      <c r="TPC64" s="233"/>
      <c r="TPD64" s="233"/>
      <c r="TPE64" s="233"/>
      <c r="TPF64" s="233"/>
      <c r="TPG64" s="231"/>
      <c r="TPH64" s="231"/>
      <c r="TPI64" s="229"/>
      <c r="TPJ64" s="230"/>
      <c r="TPK64" s="231"/>
      <c r="TPL64" s="232"/>
      <c r="TPM64" s="233"/>
      <c r="TPN64" s="233"/>
      <c r="TPO64" s="233"/>
      <c r="TPP64" s="233"/>
      <c r="TPQ64" s="233"/>
      <c r="TPR64" s="233"/>
      <c r="TPS64" s="231"/>
      <c r="TPT64" s="231"/>
      <c r="TPU64" s="229"/>
      <c r="TPV64" s="230"/>
      <c r="TPW64" s="231"/>
      <c r="TPX64" s="232"/>
      <c r="TPY64" s="233"/>
      <c r="TPZ64" s="233"/>
      <c r="TQA64" s="233"/>
      <c r="TQB64" s="233"/>
      <c r="TQC64" s="233"/>
      <c r="TQD64" s="233"/>
      <c r="TQE64" s="231"/>
      <c r="TQF64" s="231"/>
      <c r="TQG64" s="229"/>
      <c r="TQH64" s="230"/>
      <c r="TQI64" s="231"/>
      <c r="TQJ64" s="232"/>
      <c r="TQK64" s="233"/>
      <c r="TQL64" s="233"/>
      <c r="TQM64" s="233"/>
      <c r="TQN64" s="233"/>
      <c r="TQO64" s="233"/>
      <c r="TQP64" s="233"/>
      <c r="TQQ64" s="231"/>
      <c r="TQR64" s="231"/>
      <c r="TQS64" s="229"/>
      <c r="TQT64" s="230"/>
      <c r="TQU64" s="231"/>
      <c r="TQV64" s="232"/>
      <c r="TQW64" s="233"/>
      <c r="TQX64" s="233"/>
      <c r="TQY64" s="233"/>
      <c r="TQZ64" s="233"/>
      <c r="TRA64" s="233"/>
      <c r="TRB64" s="233"/>
      <c r="TRC64" s="231"/>
      <c r="TRD64" s="231"/>
      <c r="TRE64" s="229"/>
      <c r="TRF64" s="230"/>
      <c r="TRG64" s="231"/>
      <c r="TRH64" s="232"/>
      <c r="TRI64" s="233"/>
      <c r="TRJ64" s="233"/>
      <c r="TRK64" s="233"/>
      <c r="TRL64" s="233"/>
      <c r="TRM64" s="233"/>
      <c r="TRN64" s="233"/>
      <c r="TRO64" s="231"/>
      <c r="TRP64" s="231"/>
      <c r="TRQ64" s="229"/>
      <c r="TRR64" s="230"/>
      <c r="TRS64" s="231"/>
      <c r="TRT64" s="232"/>
      <c r="TRU64" s="233"/>
      <c r="TRV64" s="233"/>
      <c r="TRW64" s="233"/>
      <c r="TRX64" s="233"/>
      <c r="TRY64" s="233"/>
      <c r="TRZ64" s="233"/>
      <c r="TSA64" s="231"/>
      <c r="TSB64" s="231"/>
      <c r="TSC64" s="229"/>
      <c r="TSD64" s="230"/>
      <c r="TSE64" s="231"/>
      <c r="TSF64" s="232"/>
      <c r="TSG64" s="233"/>
      <c r="TSH64" s="233"/>
      <c r="TSI64" s="233"/>
      <c r="TSJ64" s="233"/>
      <c r="TSK64" s="233"/>
      <c r="TSL64" s="233"/>
      <c r="TSM64" s="231"/>
      <c r="TSN64" s="231"/>
      <c r="TSO64" s="229"/>
      <c r="TSP64" s="230"/>
      <c r="TSQ64" s="231"/>
      <c r="TSR64" s="232"/>
      <c r="TSS64" s="233"/>
      <c r="TST64" s="233"/>
      <c r="TSU64" s="233"/>
      <c r="TSV64" s="233"/>
      <c r="TSW64" s="233"/>
      <c r="TSX64" s="233"/>
      <c r="TSY64" s="231"/>
      <c r="TSZ64" s="231"/>
      <c r="TTA64" s="229"/>
      <c r="TTB64" s="230"/>
      <c r="TTC64" s="231"/>
      <c r="TTD64" s="232"/>
      <c r="TTE64" s="233"/>
      <c r="TTF64" s="233"/>
      <c r="TTG64" s="233"/>
      <c r="TTH64" s="233"/>
      <c r="TTI64" s="233"/>
      <c r="TTJ64" s="233"/>
      <c r="TTK64" s="231"/>
      <c r="TTL64" s="231"/>
      <c r="TTM64" s="229"/>
      <c r="TTN64" s="230"/>
      <c r="TTO64" s="231"/>
      <c r="TTP64" s="232"/>
      <c r="TTQ64" s="233"/>
      <c r="TTR64" s="233"/>
      <c r="TTS64" s="233"/>
      <c r="TTT64" s="233"/>
      <c r="TTU64" s="233"/>
      <c r="TTV64" s="233"/>
      <c r="TTW64" s="231"/>
      <c r="TTX64" s="231"/>
      <c r="TTY64" s="229"/>
      <c r="TTZ64" s="230"/>
      <c r="TUA64" s="231"/>
      <c r="TUB64" s="232"/>
      <c r="TUC64" s="233"/>
      <c r="TUD64" s="233"/>
      <c r="TUE64" s="233"/>
      <c r="TUF64" s="233"/>
      <c r="TUG64" s="233"/>
      <c r="TUH64" s="233"/>
      <c r="TUI64" s="231"/>
      <c r="TUJ64" s="231"/>
      <c r="TUK64" s="229"/>
      <c r="TUL64" s="230"/>
      <c r="TUM64" s="231"/>
      <c r="TUN64" s="232"/>
      <c r="TUO64" s="233"/>
      <c r="TUP64" s="233"/>
      <c r="TUQ64" s="233"/>
      <c r="TUR64" s="233"/>
      <c r="TUS64" s="233"/>
      <c r="TUT64" s="233"/>
      <c r="TUU64" s="231"/>
      <c r="TUV64" s="231"/>
      <c r="TUW64" s="229"/>
      <c r="TUX64" s="230"/>
      <c r="TUY64" s="231"/>
      <c r="TUZ64" s="232"/>
      <c r="TVA64" s="233"/>
      <c r="TVB64" s="233"/>
      <c r="TVC64" s="233"/>
      <c r="TVD64" s="233"/>
      <c r="TVE64" s="233"/>
      <c r="TVF64" s="233"/>
      <c r="TVG64" s="231"/>
      <c r="TVH64" s="231"/>
      <c r="TVI64" s="229"/>
      <c r="TVJ64" s="230"/>
      <c r="TVK64" s="231"/>
      <c r="TVL64" s="232"/>
      <c r="TVM64" s="233"/>
      <c r="TVN64" s="233"/>
      <c r="TVO64" s="233"/>
      <c r="TVP64" s="233"/>
      <c r="TVQ64" s="233"/>
      <c r="TVR64" s="233"/>
      <c r="TVS64" s="231"/>
      <c r="TVT64" s="231"/>
      <c r="TVU64" s="229"/>
      <c r="TVV64" s="230"/>
      <c r="TVW64" s="231"/>
      <c r="TVX64" s="232"/>
      <c r="TVY64" s="233"/>
      <c r="TVZ64" s="233"/>
      <c r="TWA64" s="233"/>
      <c r="TWB64" s="233"/>
      <c r="TWC64" s="233"/>
      <c r="TWD64" s="233"/>
      <c r="TWE64" s="231"/>
      <c r="TWF64" s="231"/>
      <c r="TWG64" s="229"/>
      <c r="TWH64" s="230"/>
      <c r="TWI64" s="231"/>
      <c r="TWJ64" s="232"/>
      <c r="TWK64" s="233"/>
      <c r="TWL64" s="233"/>
      <c r="TWM64" s="233"/>
      <c r="TWN64" s="233"/>
      <c r="TWO64" s="233"/>
      <c r="TWP64" s="233"/>
      <c r="TWQ64" s="231"/>
      <c r="TWR64" s="231"/>
      <c r="TWS64" s="229"/>
      <c r="TWT64" s="230"/>
      <c r="TWU64" s="231"/>
      <c r="TWV64" s="232"/>
      <c r="TWW64" s="233"/>
      <c r="TWX64" s="233"/>
      <c r="TWY64" s="233"/>
      <c r="TWZ64" s="233"/>
      <c r="TXA64" s="233"/>
      <c r="TXB64" s="233"/>
      <c r="TXC64" s="231"/>
      <c r="TXD64" s="231"/>
      <c r="TXE64" s="229"/>
      <c r="TXF64" s="230"/>
      <c r="TXG64" s="231"/>
      <c r="TXH64" s="232"/>
      <c r="TXI64" s="233"/>
      <c r="TXJ64" s="233"/>
      <c r="TXK64" s="233"/>
      <c r="TXL64" s="233"/>
      <c r="TXM64" s="233"/>
      <c r="TXN64" s="233"/>
      <c r="TXO64" s="231"/>
      <c r="TXP64" s="231"/>
      <c r="TXQ64" s="229"/>
      <c r="TXR64" s="230"/>
      <c r="TXS64" s="231"/>
      <c r="TXT64" s="232"/>
      <c r="TXU64" s="233"/>
      <c r="TXV64" s="233"/>
      <c r="TXW64" s="233"/>
      <c r="TXX64" s="233"/>
      <c r="TXY64" s="233"/>
      <c r="TXZ64" s="233"/>
      <c r="TYA64" s="231"/>
      <c r="TYB64" s="231"/>
      <c r="TYC64" s="229"/>
      <c r="TYD64" s="230"/>
      <c r="TYE64" s="231"/>
      <c r="TYF64" s="232"/>
      <c r="TYG64" s="233"/>
      <c r="TYH64" s="233"/>
      <c r="TYI64" s="233"/>
      <c r="TYJ64" s="233"/>
      <c r="TYK64" s="233"/>
      <c r="TYL64" s="233"/>
      <c r="TYM64" s="231"/>
      <c r="TYN64" s="231"/>
      <c r="TYO64" s="229"/>
      <c r="TYP64" s="230"/>
      <c r="TYQ64" s="231"/>
      <c r="TYR64" s="232"/>
      <c r="TYS64" s="233"/>
      <c r="TYT64" s="233"/>
      <c r="TYU64" s="233"/>
      <c r="TYV64" s="233"/>
      <c r="TYW64" s="233"/>
      <c r="TYX64" s="233"/>
      <c r="TYY64" s="231"/>
      <c r="TYZ64" s="231"/>
      <c r="TZA64" s="229"/>
      <c r="TZB64" s="230"/>
      <c r="TZC64" s="231"/>
      <c r="TZD64" s="232"/>
      <c r="TZE64" s="233"/>
      <c r="TZF64" s="233"/>
      <c r="TZG64" s="233"/>
      <c r="TZH64" s="233"/>
      <c r="TZI64" s="233"/>
      <c r="TZJ64" s="233"/>
      <c r="TZK64" s="231"/>
      <c r="TZL64" s="231"/>
      <c r="TZM64" s="229"/>
      <c r="TZN64" s="230"/>
      <c r="TZO64" s="231"/>
      <c r="TZP64" s="232"/>
      <c r="TZQ64" s="233"/>
      <c r="TZR64" s="233"/>
      <c r="TZS64" s="233"/>
      <c r="TZT64" s="233"/>
      <c r="TZU64" s="233"/>
      <c r="TZV64" s="233"/>
      <c r="TZW64" s="231"/>
      <c r="TZX64" s="231"/>
      <c r="TZY64" s="229"/>
      <c r="TZZ64" s="230"/>
      <c r="UAA64" s="231"/>
      <c r="UAB64" s="232"/>
      <c r="UAC64" s="233"/>
      <c r="UAD64" s="233"/>
      <c r="UAE64" s="233"/>
      <c r="UAF64" s="233"/>
      <c r="UAG64" s="233"/>
      <c r="UAH64" s="233"/>
      <c r="UAI64" s="231"/>
      <c r="UAJ64" s="231"/>
      <c r="UAK64" s="229"/>
      <c r="UAL64" s="230"/>
      <c r="UAM64" s="231"/>
      <c r="UAN64" s="232"/>
      <c r="UAO64" s="233"/>
      <c r="UAP64" s="233"/>
      <c r="UAQ64" s="233"/>
      <c r="UAR64" s="233"/>
      <c r="UAS64" s="233"/>
      <c r="UAT64" s="233"/>
      <c r="UAU64" s="231"/>
      <c r="UAV64" s="231"/>
      <c r="UAW64" s="229"/>
      <c r="UAX64" s="230"/>
      <c r="UAY64" s="231"/>
      <c r="UAZ64" s="232"/>
      <c r="UBA64" s="233"/>
      <c r="UBB64" s="233"/>
      <c r="UBC64" s="233"/>
      <c r="UBD64" s="233"/>
      <c r="UBE64" s="233"/>
      <c r="UBF64" s="233"/>
      <c r="UBG64" s="231"/>
      <c r="UBH64" s="231"/>
      <c r="UBI64" s="229"/>
      <c r="UBJ64" s="230"/>
      <c r="UBK64" s="231"/>
      <c r="UBL64" s="232"/>
      <c r="UBM64" s="233"/>
      <c r="UBN64" s="233"/>
      <c r="UBO64" s="233"/>
      <c r="UBP64" s="233"/>
      <c r="UBQ64" s="233"/>
      <c r="UBR64" s="233"/>
      <c r="UBS64" s="231"/>
      <c r="UBT64" s="231"/>
      <c r="UBU64" s="229"/>
      <c r="UBV64" s="230"/>
      <c r="UBW64" s="231"/>
      <c r="UBX64" s="232"/>
      <c r="UBY64" s="233"/>
      <c r="UBZ64" s="233"/>
      <c r="UCA64" s="233"/>
      <c r="UCB64" s="233"/>
      <c r="UCC64" s="233"/>
      <c r="UCD64" s="233"/>
      <c r="UCE64" s="231"/>
      <c r="UCF64" s="231"/>
      <c r="UCG64" s="229"/>
      <c r="UCH64" s="230"/>
      <c r="UCI64" s="231"/>
      <c r="UCJ64" s="232"/>
      <c r="UCK64" s="233"/>
      <c r="UCL64" s="233"/>
      <c r="UCM64" s="233"/>
      <c r="UCN64" s="233"/>
      <c r="UCO64" s="233"/>
      <c r="UCP64" s="233"/>
      <c r="UCQ64" s="231"/>
      <c r="UCR64" s="231"/>
      <c r="UCS64" s="229"/>
      <c r="UCT64" s="230"/>
      <c r="UCU64" s="231"/>
      <c r="UCV64" s="232"/>
      <c r="UCW64" s="233"/>
      <c r="UCX64" s="233"/>
      <c r="UCY64" s="233"/>
      <c r="UCZ64" s="233"/>
      <c r="UDA64" s="233"/>
      <c r="UDB64" s="233"/>
      <c r="UDC64" s="231"/>
      <c r="UDD64" s="231"/>
      <c r="UDE64" s="229"/>
      <c r="UDF64" s="230"/>
      <c r="UDG64" s="231"/>
      <c r="UDH64" s="232"/>
      <c r="UDI64" s="233"/>
      <c r="UDJ64" s="233"/>
      <c r="UDK64" s="233"/>
      <c r="UDL64" s="233"/>
      <c r="UDM64" s="233"/>
      <c r="UDN64" s="233"/>
      <c r="UDO64" s="231"/>
      <c r="UDP64" s="231"/>
      <c r="UDQ64" s="229"/>
      <c r="UDR64" s="230"/>
      <c r="UDS64" s="231"/>
      <c r="UDT64" s="232"/>
      <c r="UDU64" s="233"/>
      <c r="UDV64" s="233"/>
      <c r="UDW64" s="233"/>
      <c r="UDX64" s="233"/>
      <c r="UDY64" s="233"/>
      <c r="UDZ64" s="233"/>
      <c r="UEA64" s="231"/>
      <c r="UEB64" s="231"/>
      <c r="UEC64" s="229"/>
      <c r="UED64" s="230"/>
      <c r="UEE64" s="231"/>
      <c r="UEF64" s="232"/>
      <c r="UEG64" s="233"/>
      <c r="UEH64" s="233"/>
      <c r="UEI64" s="233"/>
      <c r="UEJ64" s="233"/>
      <c r="UEK64" s="233"/>
      <c r="UEL64" s="233"/>
      <c r="UEM64" s="231"/>
      <c r="UEN64" s="231"/>
      <c r="UEO64" s="229"/>
      <c r="UEP64" s="230"/>
      <c r="UEQ64" s="231"/>
      <c r="UER64" s="232"/>
      <c r="UES64" s="233"/>
      <c r="UET64" s="233"/>
      <c r="UEU64" s="233"/>
      <c r="UEV64" s="233"/>
      <c r="UEW64" s="233"/>
      <c r="UEX64" s="233"/>
      <c r="UEY64" s="231"/>
      <c r="UEZ64" s="231"/>
      <c r="UFA64" s="229"/>
      <c r="UFB64" s="230"/>
      <c r="UFC64" s="231"/>
      <c r="UFD64" s="232"/>
      <c r="UFE64" s="233"/>
      <c r="UFF64" s="233"/>
      <c r="UFG64" s="233"/>
      <c r="UFH64" s="233"/>
      <c r="UFI64" s="233"/>
      <c r="UFJ64" s="233"/>
      <c r="UFK64" s="231"/>
      <c r="UFL64" s="231"/>
      <c r="UFM64" s="229"/>
      <c r="UFN64" s="230"/>
      <c r="UFO64" s="231"/>
      <c r="UFP64" s="232"/>
      <c r="UFQ64" s="233"/>
      <c r="UFR64" s="233"/>
      <c r="UFS64" s="233"/>
      <c r="UFT64" s="233"/>
      <c r="UFU64" s="233"/>
      <c r="UFV64" s="233"/>
      <c r="UFW64" s="231"/>
      <c r="UFX64" s="231"/>
      <c r="UFY64" s="229"/>
      <c r="UFZ64" s="230"/>
      <c r="UGA64" s="231"/>
      <c r="UGB64" s="232"/>
      <c r="UGC64" s="233"/>
      <c r="UGD64" s="233"/>
      <c r="UGE64" s="233"/>
      <c r="UGF64" s="233"/>
      <c r="UGG64" s="233"/>
      <c r="UGH64" s="233"/>
      <c r="UGI64" s="231"/>
      <c r="UGJ64" s="231"/>
      <c r="UGK64" s="229"/>
      <c r="UGL64" s="230"/>
      <c r="UGM64" s="231"/>
      <c r="UGN64" s="232"/>
      <c r="UGO64" s="233"/>
      <c r="UGP64" s="233"/>
      <c r="UGQ64" s="233"/>
      <c r="UGR64" s="233"/>
      <c r="UGS64" s="233"/>
      <c r="UGT64" s="233"/>
      <c r="UGU64" s="231"/>
      <c r="UGV64" s="231"/>
      <c r="UGW64" s="229"/>
      <c r="UGX64" s="230"/>
      <c r="UGY64" s="231"/>
      <c r="UGZ64" s="232"/>
      <c r="UHA64" s="233"/>
      <c r="UHB64" s="233"/>
      <c r="UHC64" s="233"/>
      <c r="UHD64" s="233"/>
      <c r="UHE64" s="233"/>
      <c r="UHF64" s="233"/>
      <c r="UHG64" s="231"/>
      <c r="UHH64" s="231"/>
      <c r="UHI64" s="229"/>
      <c r="UHJ64" s="230"/>
      <c r="UHK64" s="231"/>
      <c r="UHL64" s="232"/>
      <c r="UHM64" s="233"/>
      <c r="UHN64" s="233"/>
      <c r="UHO64" s="233"/>
      <c r="UHP64" s="233"/>
      <c r="UHQ64" s="233"/>
      <c r="UHR64" s="233"/>
      <c r="UHS64" s="231"/>
      <c r="UHT64" s="231"/>
      <c r="UHU64" s="229"/>
      <c r="UHV64" s="230"/>
      <c r="UHW64" s="231"/>
      <c r="UHX64" s="232"/>
      <c r="UHY64" s="233"/>
      <c r="UHZ64" s="233"/>
      <c r="UIA64" s="233"/>
      <c r="UIB64" s="233"/>
      <c r="UIC64" s="233"/>
      <c r="UID64" s="233"/>
      <c r="UIE64" s="231"/>
      <c r="UIF64" s="231"/>
      <c r="UIG64" s="229"/>
      <c r="UIH64" s="230"/>
      <c r="UII64" s="231"/>
      <c r="UIJ64" s="232"/>
      <c r="UIK64" s="233"/>
      <c r="UIL64" s="233"/>
      <c r="UIM64" s="233"/>
      <c r="UIN64" s="233"/>
      <c r="UIO64" s="233"/>
      <c r="UIP64" s="233"/>
      <c r="UIQ64" s="231"/>
      <c r="UIR64" s="231"/>
      <c r="UIS64" s="229"/>
      <c r="UIT64" s="230"/>
      <c r="UIU64" s="231"/>
      <c r="UIV64" s="232"/>
      <c r="UIW64" s="233"/>
      <c r="UIX64" s="233"/>
      <c r="UIY64" s="233"/>
      <c r="UIZ64" s="233"/>
      <c r="UJA64" s="233"/>
      <c r="UJB64" s="233"/>
      <c r="UJC64" s="231"/>
      <c r="UJD64" s="231"/>
      <c r="UJE64" s="229"/>
      <c r="UJF64" s="230"/>
      <c r="UJG64" s="231"/>
      <c r="UJH64" s="232"/>
      <c r="UJI64" s="233"/>
      <c r="UJJ64" s="233"/>
      <c r="UJK64" s="233"/>
      <c r="UJL64" s="233"/>
      <c r="UJM64" s="233"/>
      <c r="UJN64" s="233"/>
      <c r="UJO64" s="231"/>
      <c r="UJP64" s="231"/>
      <c r="UJQ64" s="229"/>
      <c r="UJR64" s="230"/>
      <c r="UJS64" s="231"/>
      <c r="UJT64" s="232"/>
      <c r="UJU64" s="233"/>
      <c r="UJV64" s="233"/>
      <c r="UJW64" s="233"/>
      <c r="UJX64" s="233"/>
      <c r="UJY64" s="233"/>
      <c r="UJZ64" s="233"/>
      <c r="UKA64" s="231"/>
      <c r="UKB64" s="231"/>
      <c r="UKC64" s="229"/>
      <c r="UKD64" s="230"/>
      <c r="UKE64" s="231"/>
      <c r="UKF64" s="232"/>
      <c r="UKG64" s="233"/>
      <c r="UKH64" s="233"/>
      <c r="UKI64" s="233"/>
      <c r="UKJ64" s="233"/>
      <c r="UKK64" s="233"/>
      <c r="UKL64" s="233"/>
      <c r="UKM64" s="231"/>
      <c r="UKN64" s="231"/>
      <c r="UKO64" s="229"/>
      <c r="UKP64" s="230"/>
      <c r="UKQ64" s="231"/>
      <c r="UKR64" s="232"/>
      <c r="UKS64" s="233"/>
      <c r="UKT64" s="233"/>
      <c r="UKU64" s="233"/>
      <c r="UKV64" s="233"/>
      <c r="UKW64" s="233"/>
      <c r="UKX64" s="233"/>
      <c r="UKY64" s="231"/>
      <c r="UKZ64" s="231"/>
      <c r="ULA64" s="229"/>
      <c r="ULB64" s="230"/>
      <c r="ULC64" s="231"/>
      <c r="ULD64" s="232"/>
      <c r="ULE64" s="233"/>
      <c r="ULF64" s="233"/>
      <c r="ULG64" s="233"/>
      <c r="ULH64" s="233"/>
      <c r="ULI64" s="233"/>
      <c r="ULJ64" s="233"/>
      <c r="ULK64" s="231"/>
      <c r="ULL64" s="231"/>
      <c r="ULM64" s="229"/>
      <c r="ULN64" s="230"/>
      <c r="ULO64" s="231"/>
      <c r="ULP64" s="232"/>
      <c r="ULQ64" s="233"/>
      <c r="ULR64" s="233"/>
      <c r="ULS64" s="233"/>
      <c r="ULT64" s="233"/>
      <c r="ULU64" s="233"/>
      <c r="ULV64" s="233"/>
      <c r="ULW64" s="231"/>
      <c r="ULX64" s="231"/>
      <c r="ULY64" s="229"/>
      <c r="ULZ64" s="230"/>
      <c r="UMA64" s="231"/>
      <c r="UMB64" s="232"/>
      <c r="UMC64" s="233"/>
      <c r="UMD64" s="233"/>
      <c r="UME64" s="233"/>
      <c r="UMF64" s="233"/>
      <c r="UMG64" s="233"/>
      <c r="UMH64" s="233"/>
      <c r="UMI64" s="231"/>
      <c r="UMJ64" s="231"/>
      <c r="UMK64" s="229"/>
      <c r="UML64" s="230"/>
      <c r="UMM64" s="231"/>
      <c r="UMN64" s="232"/>
      <c r="UMO64" s="233"/>
      <c r="UMP64" s="233"/>
      <c r="UMQ64" s="233"/>
      <c r="UMR64" s="233"/>
      <c r="UMS64" s="233"/>
      <c r="UMT64" s="233"/>
      <c r="UMU64" s="231"/>
      <c r="UMV64" s="231"/>
      <c r="UMW64" s="229"/>
      <c r="UMX64" s="230"/>
      <c r="UMY64" s="231"/>
      <c r="UMZ64" s="232"/>
      <c r="UNA64" s="233"/>
      <c r="UNB64" s="233"/>
      <c r="UNC64" s="233"/>
      <c r="UND64" s="233"/>
      <c r="UNE64" s="233"/>
      <c r="UNF64" s="233"/>
      <c r="UNG64" s="231"/>
      <c r="UNH64" s="231"/>
      <c r="UNI64" s="229"/>
      <c r="UNJ64" s="230"/>
      <c r="UNK64" s="231"/>
      <c r="UNL64" s="232"/>
      <c r="UNM64" s="233"/>
      <c r="UNN64" s="233"/>
      <c r="UNO64" s="233"/>
      <c r="UNP64" s="233"/>
      <c r="UNQ64" s="233"/>
      <c r="UNR64" s="233"/>
      <c r="UNS64" s="231"/>
      <c r="UNT64" s="231"/>
      <c r="UNU64" s="229"/>
      <c r="UNV64" s="230"/>
      <c r="UNW64" s="231"/>
      <c r="UNX64" s="232"/>
      <c r="UNY64" s="233"/>
      <c r="UNZ64" s="233"/>
      <c r="UOA64" s="233"/>
      <c r="UOB64" s="233"/>
      <c r="UOC64" s="233"/>
      <c r="UOD64" s="233"/>
      <c r="UOE64" s="231"/>
      <c r="UOF64" s="231"/>
      <c r="UOG64" s="229"/>
      <c r="UOH64" s="230"/>
      <c r="UOI64" s="231"/>
      <c r="UOJ64" s="232"/>
      <c r="UOK64" s="233"/>
      <c r="UOL64" s="233"/>
      <c r="UOM64" s="233"/>
      <c r="UON64" s="233"/>
      <c r="UOO64" s="233"/>
      <c r="UOP64" s="233"/>
      <c r="UOQ64" s="231"/>
      <c r="UOR64" s="231"/>
      <c r="UOS64" s="229"/>
      <c r="UOT64" s="230"/>
      <c r="UOU64" s="231"/>
      <c r="UOV64" s="232"/>
      <c r="UOW64" s="233"/>
      <c r="UOX64" s="233"/>
      <c r="UOY64" s="233"/>
      <c r="UOZ64" s="233"/>
      <c r="UPA64" s="233"/>
      <c r="UPB64" s="233"/>
      <c r="UPC64" s="231"/>
      <c r="UPD64" s="231"/>
      <c r="UPE64" s="229"/>
      <c r="UPF64" s="230"/>
      <c r="UPG64" s="231"/>
      <c r="UPH64" s="232"/>
      <c r="UPI64" s="233"/>
      <c r="UPJ64" s="233"/>
      <c r="UPK64" s="233"/>
      <c r="UPL64" s="233"/>
      <c r="UPM64" s="233"/>
      <c r="UPN64" s="233"/>
      <c r="UPO64" s="231"/>
      <c r="UPP64" s="231"/>
      <c r="UPQ64" s="229"/>
      <c r="UPR64" s="230"/>
      <c r="UPS64" s="231"/>
      <c r="UPT64" s="232"/>
      <c r="UPU64" s="233"/>
      <c r="UPV64" s="233"/>
      <c r="UPW64" s="233"/>
      <c r="UPX64" s="233"/>
      <c r="UPY64" s="233"/>
      <c r="UPZ64" s="233"/>
      <c r="UQA64" s="231"/>
      <c r="UQB64" s="231"/>
      <c r="UQC64" s="229"/>
      <c r="UQD64" s="230"/>
      <c r="UQE64" s="231"/>
      <c r="UQF64" s="232"/>
      <c r="UQG64" s="233"/>
      <c r="UQH64" s="233"/>
      <c r="UQI64" s="233"/>
      <c r="UQJ64" s="233"/>
      <c r="UQK64" s="233"/>
      <c r="UQL64" s="233"/>
      <c r="UQM64" s="231"/>
      <c r="UQN64" s="231"/>
      <c r="UQO64" s="229"/>
      <c r="UQP64" s="230"/>
      <c r="UQQ64" s="231"/>
      <c r="UQR64" s="232"/>
      <c r="UQS64" s="233"/>
      <c r="UQT64" s="233"/>
      <c r="UQU64" s="233"/>
      <c r="UQV64" s="233"/>
      <c r="UQW64" s="233"/>
      <c r="UQX64" s="233"/>
      <c r="UQY64" s="231"/>
      <c r="UQZ64" s="231"/>
      <c r="URA64" s="229"/>
      <c r="URB64" s="230"/>
      <c r="URC64" s="231"/>
      <c r="URD64" s="232"/>
      <c r="URE64" s="233"/>
      <c r="URF64" s="233"/>
      <c r="URG64" s="233"/>
      <c r="URH64" s="233"/>
      <c r="URI64" s="233"/>
      <c r="URJ64" s="233"/>
      <c r="URK64" s="231"/>
      <c r="URL64" s="231"/>
      <c r="URM64" s="229"/>
      <c r="URN64" s="230"/>
      <c r="URO64" s="231"/>
      <c r="URP64" s="232"/>
      <c r="URQ64" s="233"/>
      <c r="URR64" s="233"/>
      <c r="URS64" s="233"/>
      <c r="URT64" s="233"/>
      <c r="URU64" s="233"/>
      <c r="URV64" s="233"/>
      <c r="URW64" s="231"/>
      <c r="URX64" s="231"/>
      <c r="URY64" s="229"/>
      <c r="URZ64" s="230"/>
      <c r="USA64" s="231"/>
      <c r="USB64" s="232"/>
      <c r="USC64" s="233"/>
      <c r="USD64" s="233"/>
      <c r="USE64" s="233"/>
      <c r="USF64" s="233"/>
      <c r="USG64" s="233"/>
      <c r="USH64" s="233"/>
      <c r="USI64" s="231"/>
      <c r="USJ64" s="231"/>
      <c r="USK64" s="229"/>
      <c r="USL64" s="230"/>
      <c r="USM64" s="231"/>
      <c r="USN64" s="232"/>
      <c r="USO64" s="233"/>
      <c r="USP64" s="233"/>
      <c r="USQ64" s="233"/>
      <c r="USR64" s="233"/>
      <c r="USS64" s="233"/>
      <c r="UST64" s="233"/>
      <c r="USU64" s="231"/>
      <c r="USV64" s="231"/>
      <c r="USW64" s="229"/>
      <c r="USX64" s="230"/>
      <c r="USY64" s="231"/>
      <c r="USZ64" s="232"/>
      <c r="UTA64" s="233"/>
      <c r="UTB64" s="233"/>
      <c r="UTC64" s="233"/>
      <c r="UTD64" s="233"/>
      <c r="UTE64" s="233"/>
      <c r="UTF64" s="233"/>
      <c r="UTG64" s="231"/>
      <c r="UTH64" s="231"/>
      <c r="UTI64" s="229"/>
      <c r="UTJ64" s="230"/>
      <c r="UTK64" s="231"/>
      <c r="UTL64" s="232"/>
      <c r="UTM64" s="233"/>
      <c r="UTN64" s="233"/>
      <c r="UTO64" s="233"/>
      <c r="UTP64" s="233"/>
      <c r="UTQ64" s="233"/>
      <c r="UTR64" s="233"/>
      <c r="UTS64" s="231"/>
      <c r="UTT64" s="231"/>
      <c r="UTU64" s="229"/>
      <c r="UTV64" s="230"/>
      <c r="UTW64" s="231"/>
      <c r="UTX64" s="232"/>
      <c r="UTY64" s="233"/>
      <c r="UTZ64" s="233"/>
      <c r="UUA64" s="233"/>
      <c r="UUB64" s="233"/>
      <c r="UUC64" s="233"/>
      <c r="UUD64" s="233"/>
      <c r="UUE64" s="231"/>
      <c r="UUF64" s="231"/>
      <c r="UUG64" s="229"/>
      <c r="UUH64" s="230"/>
      <c r="UUI64" s="231"/>
      <c r="UUJ64" s="232"/>
      <c r="UUK64" s="233"/>
      <c r="UUL64" s="233"/>
      <c r="UUM64" s="233"/>
      <c r="UUN64" s="233"/>
      <c r="UUO64" s="233"/>
      <c r="UUP64" s="233"/>
      <c r="UUQ64" s="231"/>
      <c r="UUR64" s="231"/>
      <c r="UUS64" s="229"/>
      <c r="UUT64" s="230"/>
      <c r="UUU64" s="231"/>
      <c r="UUV64" s="232"/>
      <c r="UUW64" s="233"/>
      <c r="UUX64" s="233"/>
      <c r="UUY64" s="233"/>
      <c r="UUZ64" s="233"/>
      <c r="UVA64" s="233"/>
      <c r="UVB64" s="233"/>
      <c r="UVC64" s="231"/>
      <c r="UVD64" s="231"/>
      <c r="UVE64" s="229"/>
      <c r="UVF64" s="230"/>
      <c r="UVG64" s="231"/>
      <c r="UVH64" s="232"/>
      <c r="UVI64" s="233"/>
      <c r="UVJ64" s="233"/>
      <c r="UVK64" s="233"/>
      <c r="UVL64" s="233"/>
      <c r="UVM64" s="233"/>
      <c r="UVN64" s="233"/>
      <c r="UVO64" s="231"/>
      <c r="UVP64" s="231"/>
      <c r="UVQ64" s="229"/>
      <c r="UVR64" s="230"/>
      <c r="UVS64" s="231"/>
      <c r="UVT64" s="232"/>
      <c r="UVU64" s="233"/>
      <c r="UVV64" s="233"/>
      <c r="UVW64" s="233"/>
      <c r="UVX64" s="233"/>
      <c r="UVY64" s="233"/>
      <c r="UVZ64" s="233"/>
      <c r="UWA64" s="231"/>
      <c r="UWB64" s="231"/>
      <c r="UWC64" s="229"/>
      <c r="UWD64" s="230"/>
      <c r="UWE64" s="231"/>
      <c r="UWF64" s="232"/>
      <c r="UWG64" s="233"/>
      <c r="UWH64" s="233"/>
      <c r="UWI64" s="233"/>
      <c r="UWJ64" s="233"/>
      <c r="UWK64" s="233"/>
      <c r="UWL64" s="233"/>
      <c r="UWM64" s="231"/>
      <c r="UWN64" s="231"/>
      <c r="UWO64" s="229"/>
      <c r="UWP64" s="230"/>
      <c r="UWQ64" s="231"/>
      <c r="UWR64" s="232"/>
      <c r="UWS64" s="233"/>
      <c r="UWT64" s="233"/>
      <c r="UWU64" s="233"/>
      <c r="UWV64" s="233"/>
      <c r="UWW64" s="233"/>
      <c r="UWX64" s="233"/>
      <c r="UWY64" s="231"/>
      <c r="UWZ64" s="231"/>
      <c r="UXA64" s="229"/>
      <c r="UXB64" s="230"/>
      <c r="UXC64" s="231"/>
      <c r="UXD64" s="232"/>
      <c r="UXE64" s="233"/>
      <c r="UXF64" s="233"/>
      <c r="UXG64" s="233"/>
      <c r="UXH64" s="233"/>
      <c r="UXI64" s="233"/>
      <c r="UXJ64" s="233"/>
      <c r="UXK64" s="231"/>
      <c r="UXL64" s="231"/>
      <c r="UXM64" s="229"/>
      <c r="UXN64" s="230"/>
      <c r="UXO64" s="231"/>
      <c r="UXP64" s="232"/>
      <c r="UXQ64" s="233"/>
      <c r="UXR64" s="233"/>
      <c r="UXS64" s="233"/>
      <c r="UXT64" s="233"/>
      <c r="UXU64" s="233"/>
      <c r="UXV64" s="233"/>
      <c r="UXW64" s="231"/>
      <c r="UXX64" s="231"/>
      <c r="UXY64" s="229"/>
      <c r="UXZ64" s="230"/>
      <c r="UYA64" s="231"/>
      <c r="UYB64" s="232"/>
      <c r="UYC64" s="233"/>
      <c r="UYD64" s="233"/>
      <c r="UYE64" s="233"/>
      <c r="UYF64" s="233"/>
      <c r="UYG64" s="233"/>
      <c r="UYH64" s="233"/>
      <c r="UYI64" s="231"/>
      <c r="UYJ64" s="231"/>
      <c r="UYK64" s="229"/>
      <c r="UYL64" s="230"/>
      <c r="UYM64" s="231"/>
      <c r="UYN64" s="232"/>
      <c r="UYO64" s="233"/>
      <c r="UYP64" s="233"/>
      <c r="UYQ64" s="233"/>
      <c r="UYR64" s="233"/>
      <c r="UYS64" s="233"/>
      <c r="UYT64" s="233"/>
      <c r="UYU64" s="231"/>
      <c r="UYV64" s="231"/>
      <c r="UYW64" s="229"/>
      <c r="UYX64" s="230"/>
      <c r="UYY64" s="231"/>
      <c r="UYZ64" s="232"/>
      <c r="UZA64" s="233"/>
      <c r="UZB64" s="233"/>
      <c r="UZC64" s="233"/>
      <c r="UZD64" s="233"/>
      <c r="UZE64" s="233"/>
      <c r="UZF64" s="233"/>
      <c r="UZG64" s="231"/>
      <c r="UZH64" s="231"/>
      <c r="UZI64" s="229"/>
      <c r="UZJ64" s="230"/>
      <c r="UZK64" s="231"/>
      <c r="UZL64" s="232"/>
      <c r="UZM64" s="233"/>
      <c r="UZN64" s="233"/>
      <c r="UZO64" s="233"/>
      <c r="UZP64" s="233"/>
      <c r="UZQ64" s="233"/>
      <c r="UZR64" s="233"/>
      <c r="UZS64" s="231"/>
      <c r="UZT64" s="231"/>
      <c r="UZU64" s="229"/>
      <c r="UZV64" s="230"/>
      <c r="UZW64" s="231"/>
      <c r="UZX64" s="232"/>
      <c r="UZY64" s="233"/>
      <c r="UZZ64" s="233"/>
      <c r="VAA64" s="233"/>
      <c r="VAB64" s="233"/>
      <c r="VAC64" s="233"/>
      <c r="VAD64" s="233"/>
      <c r="VAE64" s="231"/>
      <c r="VAF64" s="231"/>
      <c r="VAG64" s="229"/>
      <c r="VAH64" s="230"/>
      <c r="VAI64" s="231"/>
      <c r="VAJ64" s="232"/>
      <c r="VAK64" s="233"/>
      <c r="VAL64" s="233"/>
      <c r="VAM64" s="233"/>
      <c r="VAN64" s="233"/>
      <c r="VAO64" s="233"/>
      <c r="VAP64" s="233"/>
      <c r="VAQ64" s="231"/>
      <c r="VAR64" s="231"/>
      <c r="VAS64" s="229"/>
      <c r="VAT64" s="230"/>
      <c r="VAU64" s="231"/>
      <c r="VAV64" s="232"/>
      <c r="VAW64" s="233"/>
      <c r="VAX64" s="233"/>
      <c r="VAY64" s="233"/>
      <c r="VAZ64" s="233"/>
      <c r="VBA64" s="233"/>
      <c r="VBB64" s="233"/>
      <c r="VBC64" s="231"/>
      <c r="VBD64" s="231"/>
      <c r="VBE64" s="229"/>
      <c r="VBF64" s="230"/>
      <c r="VBG64" s="231"/>
      <c r="VBH64" s="232"/>
      <c r="VBI64" s="233"/>
      <c r="VBJ64" s="233"/>
      <c r="VBK64" s="233"/>
      <c r="VBL64" s="233"/>
      <c r="VBM64" s="233"/>
      <c r="VBN64" s="233"/>
      <c r="VBO64" s="231"/>
      <c r="VBP64" s="231"/>
      <c r="VBQ64" s="229"/>
      <c r="VBR64" s="230"/>
      <c r="VBS64" s="231"/>
      <c r="VBT64" s="232"/>
      <c r="VBU64" s="233"/>
      <c r="VBV64" s="233"/>
      <c r="VBW64" s="233"/>
      <c r="VBX64" s="233"/>
      <c r="VBY64" s="233"/>
      <c r="VBZ64" s="233"/>
      <c r="VCA64" s="231"/>
      <c r="VCB64" s="231"/>
      <c r="VCC64" s="229"/>
      <c r="VCD64" s="230"/>
      <c r="VCE64" s="231"/>
      <c r="VCF64" s="232"/>
      <c r="VCG64" s="233"/>
      <c r="VCH64" s="233"/>
      <c r="VCI64" s="233"/>
      <c r="VCJ64" s="233"/>
      <c r="VCK64" s="233"/>
      <c r="VCL64" s="233"/>
      <c r="VCM64" s="231"/>
      <c r="VCN64" s="231"/>
      <c r="VCO64" s="229"/>
      <c r="VCP64" s="230"/>
      <c r="VCQ64" s="231"/>
      <c r="VCR64" s="232"/>
      <c r="VCS64" s="233"/>
      <c r="VCT64" s="233"/>
      <c r="VCU64" s="233"/>
      <c r="VCV64" s="233"/>
      <c r="VCW64" s="233"/>
      <c r="VCX64" s="233"/>
      <c r="VCY64" s="231"/>
      <c r="VCZ64" s="231"/>
      <c r="VDA64" s="229"/>
      <c r="VDB64" s="230"/>
      <c r="VDC64" s="231"/>
      <c r="VDD64" s="232"/>
      <c r="VDE64" s="233"/>
      <c r="VDF64" s="233"/>
      <c r="VDG64" s="233"/>
      <c r="VDH64" s="233"/>
      <c r="VDI64" s="233"/>
      <c r="VDJ64" s="233"/>
      <c r="VDK64" s="231"/>
      <c r="VDL64" s="231"/>
      <c r="VDM64" s="229"/>
      <c r="VDN64" s="230"/>
      <c r="VDO64" s="231"/>
      <c r="VDP64" s="232"/>
      <c r="VDQ64" s="233"/>
      <c r="VDR64" s="233"/>
      <c r="VDS64" s="233"/>
      <c r="VDT64" s="233"/>
      <c r="VDU64" s="233"/>
      <c r="VDV64" s="233"/>
      <c r="VDW64" s="231"/>
      <c r="VDX64" s="231"/>
      <c r="VDY64" s="229"/>
      <c r="VDZ64" s="230"/>
      <c r="VEA64" s="231"/>
      <c r="VEB64" s="232"/>
      <c r="VEC64" s="233"/>
      <c r="VED64" s="233"/>
      <c r="VEE64" s="233"/>
      <c r="VEF64" s="233"/>
      <c r="VEG64" s="233"/>
      <c r="VEH64" s="233"/>
      <c r="VEI64" s="231"/>
      <c r="VEJ64" s="231"/>
      <c r="VEK64" s="229"/>
      <c r="VEL64" s="230"/>
      <c r="VEM64" s="231"/>
      <c r="VEN64" s="232"/>
      <c r="VEO64" s="233"/>
      <c r="VEP64" s="233"/>
      <c r="VEQ64" s="233"/>
      <c r="VER64" s="233"/>
      <c r="VES64" s="233"/>
      <c r="VET64" s="233"/>
      <c r="VEU64" s="231"/>
      <c r="VEV64" s="231"/>
      <c r="VEW64" s="229"/>
      <c r="VEX64" s="230"/>
      <c r="VEY64" s="231"/>
      <c r="VEZ64" s="232"/>
      <c r="VFA64" s="233"/>
      <c r="VFB64" s="233"/>
      <c r="VFC64" s="233"/>
      <c r="VFD64" s="233"/>
      <c r="VFE64" s="233"/>
      <c r="VFF64" s="233"/>
      <c r="VFG64" s="231"/>
      <c r="VFH64" s="231"/>
      <c r="VFI64" s="229"/>
      <c r="VFJ64" s="230"/>
      <c r="VFK64" s="231"/>
      <c r="VFL64" s="232"/>
      <c r="VFM64" s="233"/>
      <c r="VFN64" s="233"/>
      <c r="VFO64" s="233"/>
      <c r="VFP64" s="233"/>
      <c r="VFQ64" s="233"/>
      <c r="VFR64" s="233"/>
      <c r="VFS64" s="231"/>
      <c r="VFT64" s="231"/>
      <c r="VFU64" s="229"/>
      <c r="VFV64" s="230"/>
      <c r="VFW64" s="231"/>
      <c r="VFX64" s="232"/>
      <c r="VFY64" s="233"/>
      <c r="VFZ64" s="233"/>
      <c r="VGA64" s="233"/>
      <c r="VGB64" s="233"/>
      <c r="VGC64" s="233"/>
      <c r="VGD64" s="233"/>
      <c r="VGE64" s="231"/>
      <c r="VGF64" s="231"/>
      <c r="VGG64" s="229"/>
      <c r="VGH64" s="230"/>
      <c r="VGI64" s="231"/>
      <c r="VGJ64" s="232"/>
      <c r="VGK64" s="233"/>
      <c r="VGL64" s="233"/>
      <c r="VGM64" s="233"/>
      <c r="VGN64" s="233"/>
      <c r="VGO64" s="233"/>
      <c r="VGP64" s="233"/>
      <c r="VGQ64" s="231"/>
      <c r="VGR64" s="231"/>
      <c r="VGS64" s="229"/>
      <c r="VGT64" s="230"/>
      <c r="VGU64" s="231"/>
      <c r="VGV64" s="232"/>
      <c r="VGW64" s="233"/>
      <c r="VGX64" s="233"/>
      <c r="VGY64" s="233"/>
      <c r="VGZ64" s="233"/>
      <c r="VHA64" s="233"/>
      <c r="VHB64" s="233"/>
      <c r="VHC64" s="231"/>
      <c r="VHD64" s="231"/>
      <c r="VHE64" s="229"/>
      <c r="VHF64" s="230"/>
      <c r="VHG64" s="231"/>
      <c r="VHH64" s="232"/>
      <c r="VHI64" s="233"/>
      <c r="VHJ64" s="233"/>
      <c r="VHK64" s="233"/>
      <c r="VHL64" s="233"/>
      <c r="VHM64" s="233"/>
      <c r="VHN64" s="233"/>
      <c r="VHO64" s="231"/>
      <c r="VHP64" s="231"/>
      <c r="VHQ64" s="229"/>
      <c r="VHR64" s="230"/>
      <c r="VHS64" s="231"/>
      <c r="VHT64" s="232"/>
      <c r="VHU64" s="233"/>
      <c r="VHV64" s="233"/>
      <c r="VHW64" s="233"/>
      <c r="VHX64" s="233"/>
      <c r="VHY64" s="233"/>
      <c r="VHZ64" s="233"/>
      <c r="VIA64" s="231"/>
      <c r="VIB64" s="231"/>
      <c r="VIC64" s="229"/>
      <c r="VID64" s="230"/>
      <c r="VIE64" s="231"/>
      <c r="VIF64" s="232"/>
      <c r="VIG64" s="233"/>
      <c r="VIH64" s="233"/>
      <c r="VII64" s="233"/>
      <c r="VIJ64" s="233"/>
      <c r="VIK64" s="233"/>
      <c r="VIL64" s="233"/>
      <c r="VIM64" s="231"/>
      <c r="VIN64" s="231"/>
      <c r="VIO64" s="229"/>
      <c r="VIP64" s="230"/>
      <c r="VIQ64" s="231"/>
      <c r="VIR64" s="232"/>
      <c r="VIS64" s="233"/>
      <c r="VIT64" s="233"/>
      <c r="VIU64" s="233"/>
      <c r="VIV64" s="233"/>
      <c r="VIW64" s="233"/>
      <c r="VIX64" s="233"/>
      <c r="VIY64" s="231"/>
      <c r="VIZ64" s="231"/>
      <c r="VJA64" s="229"/>
      <c r="VJB64" s="230"/>
      <c r="VJC64" s="231"/>
      <c r="VJD64" s="232"/>
      <c r="VJE64" s="233"/>
      <c r="VJF64" s="233"/>
      <c r="VJG64" s="233"/>
      <c r="VJH64" s="233"/>
      <c r="VJI64" s="233"/>
      <c r="VJJ64" s="233"/>
      <c r="VJK64" s="231"/>
      <c r="VJL64" s="231"/>
      <c r="VJM64" s="229"/>
      <c r="VJN64" s="230"/>
      <c r="VJO64" s="231"/>
      <c r="VJP64" s="232"/>
      <c r="VJQ64" s="233"/>
      <c r="VJR64" s="233"/>
      <c r="VJS64" s="233"/>
      <c r="VJT64" s="233"/>
      <c r="VJU64" s="233"/>
      <c r="VJV64" s="233"/>
      <c r="VJW64" s="231"/>
      <c r="VJX64" s="231"/>
      <c r="VJY64" s="229"/>
      <c r="VJZ64" s="230"/>
      <c r="VKA64" s="231"/>
      <c r="VKB64" s="232"/>
      <c r="VKC64" s="233"/>
      <c r="VKD64" s="233"/>
      <c r="VKE64" s="233"/>
      <c r="VKF64" s="233"/>
      <c r="VKG64" s="233"/>
      <c r="VKH64" s="233"/>
      <c r="VKI64" s="231"/>
      <c r="VKJ64" s="231"/>
      <c r="VKK64" s="229"/>
      <c r="VKL64" s="230"/>
      <c r="VKM64" s="231"/>
      <c r="VKN64" s="232"/>
      <c r="VKO64" s="233"/>
      <c r="VKP64" s="233"/>
      <c r="VKQ64" s="233"/>
      <c r="VKR64" s="233"/>
      <c r="VKS64" s="233"/>
      <c r="VKT64" s="233"/>
      <c r="VKU64" s="231"/>
      <c r="VKV64" s="231"/>
      <c r="VKW64" s="229"/>
      <c r="VKX64" s="230"/>
      <c r="VKY64" s="231"/>
      <c r="VKZ64" s="232"/>
      <c r="VLA64" s="233"/>
      <c r="VLB64" s="233"/>
      <c r="VLC64" s="233"/>
      <c r="VLD64" s="233"/>
      <c r="VLE64" s="233"/>
      <c r="VLF64" s="233"/>
      <c r="VLG64" s="231"/>
      <c r="VLH64" s="231"/>
      <c r="VLI64" s="229"/>
      <c r="VLJ64" s="230"/>
      <c r="VLK64" s="231"/>
      <c r="VLL64" s="232"/>
      <c r="VLM64" s="233"/>
      <c r="VLN64" s="233"/>
      <c r="VLO64" s="233"/>
      <c r="VLP64" s="233"/>
      <c r="VLQ64" s="233"/>
      <c r="VLR64" s="233"/>
      <c r="VLS64" s="231"/>
      <c r="VLT64" s="231"/>
      <c r="VLU64" s="229"/>
      <c r="VLV64" s="230"/>
      <c r="VLW64" s="231"/>
      <c r="VLX64" s="232"/>
      <c r="VLY64" s="233"/>
      <c r="VLZ64" s="233"/>
      <c r="VMA64" s="233"/>
      <c r="VMB64" s="233"/>
      <c r="VMC64" s="233"/>
      <c r="VMD64" s="233"/>
      <c r="VME64" s="231"/>
      <c r="VMF64" s="231"/>
      <c r="VMG64" s="229"/>
      <c r="VMH64" s="230"/>
      <c r="VMI64" s="231"/>
      <c r="VMJ64" s="232"/>
      <c r="VMK64" s="233"/>
      <c r="VML64" s="233"/>
      <c r="VMM64" s="233"/>
      <c r="VMN64" s="233"/>
      <c r="VMO64" s="233"/>
      <c r="VMP64" s="233"/>
      <c r="VMQ64" s="231"/>
      <c r="VMR64" s="231"/>
      <c r="VMS64" s="229"/>
      <c r="VMT64" s="230"/>
      <c r="VMU64" s="231"/>
      <c r="VMV64" s="232"/>
      <c r="VMW64" s="233"/>
      <c r="VMX64" s="233"/>
      <c r="VMY64" s="233"/>
      <c r="VMZ64" s="233"/>
      <c r="VNA64" s="233"/>
      <c r="VNB64" s="233"/>
      <c r="VNC64" s="231"/>
      <c r="VND64" s="231"/>
      <c r="VNE64" s="229"/>
      <c r="VNF64" s="230"/>
      <c r="VNG64" s="231"/>
      <c r="VNH64" s="232"/>
      <c r="VNI64" s="233"/>
      <c r="VNJ64" s="233"/>
      <c r="VNK64" s="233"/>
      <c r="VNL64" s="233"/>
      <c r="VNM64" s="233"/>
      <c r="VNN64" s="233"/>
      <c r="VNO64" s="231"/>
      <c r="VNP64" s="231"/>
      <c r="VNQ64" s="229"/>
      <c r="VNR64" s="230"/>
      <c r="VNS64" s="231"/>
      <c r="VNT64" s="232"/>
      <c r="VNU64" s="233"/>
      <c r="VNV64" s="233"/>
      <c r="VNW64" s="233"/>
      <c r="VNX64" s="233"/>
      <c r="VNY64" s="233"/>
      <c r="VNZ64" s="233"/>
      <c r="VOA64" s="231"/>
      <c r="VOB64" s="231"/>
      <c r="VOC64" s="229"/>
      <c r="VOD64" s="230"/>
      <c r="VOE64" s="231"/>
      <c r="VOF64" s="232"/>
      <c r="VOG64" s="233"/>
      <c r="VOH64" s="233"/>
      <c r="VOI64" s="233"/>
      <c r="VOJ64" s="233"/>
      <c r="VOK64" s="233"/>
      <c r="VOL64" s="233"/>
      <c r="VOM64" s="231"/>
      <c r="VON64" s="231"/>
      <c r="VOO64" s="229"/>
      <c r="VOP64" s="230"/>
      <c r="VOQ64" s="231"/>
      <c r="VOR64" s="232"/>
      <c r="VOS64" s="233"/>
      <c r="VOT64" s="233"/>
      <c r="VOU64" s="233"/>
      <c r="VOV64" s="233"/>
      <c r="VOW64" s="233"/>
      <c r="VOX64" s="233"/>
      <c r="VOY64" s="231"/>
      <c r="VOZ64" s="231"/>
      <c r="VPA64" s="229"/>
      <c r="VPB64" s="230"/>
      <c r="VPC64" s="231"/>
      <c r="VPD64" s="232"/>
      <c r="VPE64" s="233"/>
      <c r="VPF64" s="233"/>
      <c r="VPG64" s="233"/>
      <c r="VPH64" s="233"/>
      <c r="VPI64" s="233"/>
      <c r="VPJ64" s="233"/>
      <c r="VPK64" s="231"/>
      <c r="VPL64" s="231"/>
      <c r="VPM64" s="229"/>
      <c r="VPN64" s="230"/>
      <c r="VPO64" s="231"/>
      <c r="VPP64" s="232"/>
      <c r="VPQ64" s="233"/>
      <c r="VPR64" s="233"/>
      <c r="VPS64" s="233"/>
      <c r="VPT64" s="233"/>
      <c r="VPU64" s="233"/>
      <c r="VPV64" s="233"/>
      <c r="VPW64" s="231"/>
      <c r="VPX64" s="231"/>
      <c r="VPY64" s="229"/>
      <c r="VPZ64" s="230"/>
      <c r="VQA64" s="231"/>
      <c r="VQB64" s="232"/>
      <c r="VQC64" s="233"/>
      <c r="VQD64" s="233"/>
      <c r="VQE64" s="233"/>
      <c r="VQF64" s="233"/>
      <c r="VQG64" s="233"/>
      <c r="VQH64" s="233"/>
      <c r="VQI64" s="231"/>
      <c r="VQJ64" s="231"/>
      <c r="VQK64" s="229"/>
      <c r="VQL64" s="230"/>
      <c r="VQM64" s="231"/>
      <c r="VQN64" s="232"/>
      <c r="VQO64" s="233"/>
      <c r="VQP64" s="233"/>
      <c r="VQQ64" s="233"/>
      <c r="VQR64" s="233"/>
      <c r="VQS64" s="233"/>
      <c r="VQT64" s="233"/>
      <c r="VQU64" s="231"/>
      <c r="VQV64" s="231"/>
      <c r="VQW64" s="229"/>
      <c r="VQX64" s="230"/>
      <c r="VQY64" s="231"/>
      <c r="VQZ64" s="232"/>
      <c r="VRA64" s="233"/>
      <c r="VRB64" s="233"/>
      <c r="VRC64" s="233"/>
      <c r="VRD64" s="233"/>
      <c r="VRE64" s="233"/>
      <c r="VRF64" s="233"/>
      <c r="VRG64" s="231"/>
      <c r="VRH64" s="231"/>
      <c r="VRI64" s="229"/>
      <c r="VRJ64" s="230"/>
      <c r="VRK64" s="231"/>
      <c r="VRL64" s="232"/>
      <c r="VRM64" s="233"/>
      <c r="VRN64" s="233"/>
      <c r="VRO64" s="233"/>
      <c r="VRP64" s="233"/>
      <c r="VRQ64" s="233"/>
      <c r="VRR64" s="233"/>
      <c r="VRS64" s="231"/>
      <c r="VRT64" s="231"/>
      <c r="VRU64" s="229"/>
      <c r="VRV64" s="230"/>
      <c r="VRW64" s="231"/>
      <c r="VRX64" s="232"/>
      <c r="VRY64" s="233"/>
      <c r="VRZ64" s="233"/>
      <c r="VSA64" s="233"/>
      <c r="VSB64" s="233"/>
      <c r="VSC64" s="233"/>
      <c r="VSD64" s="233"/>
      <c r="VSE64" s="231"/>
      <c r="VSF64" s="231"/>
      <c r="VSG64" s="229"/>
      <c r="VSH64" s="230"/>
      <c r="VSI64" s="231"/>
      <c r="VSJ64" s="232"/>
      <c r="VSK64" s="233"/>
      <c r="VSL64" s="233"/>
      <c r="VSM64" s="233"/>
      <c r="VSN64" s="233"/>
      <c r="VSO64" s="233"/>
      <c r="VSP64" s="233"/>
      <c r="VSQ64" s="231"/>
      <c r="VSR64" s="231"/>
      <c r="VSS64" s="229"/>
      <c r="VST64" s="230"/>
      <c r="VSU64" s="231"/>
      <c r="VSV64" s="232"/>
      <c r="VSW64" s="233"/>
      <c r="VSX64" s="233"/>
      <c r="VSY64" s="233"/>
      <c r="VSZ64" s="233"/>
      <c r="VTA64" s="233"/>
      <c r="VTB64" s="233"/>
      <c r="VTC64" s="231"/>
      <c r="VTD64" s="231"/>
      <c r="VTE64" s="229"/>
      <c r="VTF64" s="230"/>
      <c r="VTG64" s="231"/>
      <c r="VTH64" s="232"/>
      <c r="VTI64" s="233"/>
      <c r="VTJ64" s="233"/>
      <c r="VTK64" s="233"/>
      <c r="VTL64" s="233"/>
      <c r="VTM64" s="233"/>
      <c r="VTN64" s="233"/>
      <c r="VTO64" s="231"/>
      <c r="VTP64" s="231"/>
      <c r="VTQ64" s="229"/>
      <c r="VTR64" s="230"/>
      <c r="VTS64" s="231"/>
      <c r="VTT64" s="232"/>
      <c r="VTU64" s="233"/>
      <c r="VTV64" s="233"/>
      <c r="VTW64" s="233"/>
      <c r="VTX64" s="233"/>
      <c r="VTY64" s="233"/>
      <c r="VTZ64" s="233"/>
      <c r="VUA64" s="231"/>
      <c r="VUB64" s="231"/>
      <c r="VUC64" s="229"/>
      <c r="VUD64" s="230"/>
      <c r="VUE64" s="231"/>
      <c r="VUF64" s="232"/>
      <c r="VUG64" s="233"/>
      <c r="VUH64" s="233"/>
      <c r="VUI64" s="233"/>
      <c r="VUJ64" s="233"/>
      <c r="VUK64" s="233"/>
      <c r="VUL64" s="233"/>
      <c r="VUM64" s="231"/>
      <c r="VUN64" s="231"/>
      <c r="VUO64" s="229"/>
      <c r="VUP64" s="230"/>
      <c r="VUQ64" s="231"/>
      <c r="VUR64" s="232"/>
      <c r="VUS64" s="233"/>
      <c r="VUT64" s="233"/>
      <c r="VUU64" s="233"/>
      <c r="VUV64" s="233"/>
      <c r="VUW64" s="233"/>
      <c r="VUX64" s="233"/>
      <c r="VUY64" s="231"/>
      <c r="VUZ64" s="231"/>
      <c r="VVA64" s="229"/>
      <c r="VVB64" s="230"/>
      <c r="VVC64" s="231"/>
      <c r="VVD64" s="232"/>
      <c r="VVE64" s="233"/>
      <c r="VVF64" s="233"/>
      <c r="VVG64" s="233"/>
      <c r="VVH64" s="233"/>
      <c r="VVI64" s="233"/>
      <c r="VVJ64" s="233"/>
      <c r="VVK64" s="231"/>
      <c r="VVL64" s="231"/>
      <c r="VVM64" s="229"/>
      <c r="VVN64" s="230"/>
      <c r="VVO64" s="231"/>
      <c r="VVP64" s="232"/>
      <c r="VVQ64" s="233"/>
      <c r="VVR64" s="233"/>
      <c r="VVS64" s="233"/>
      <c r="VVT64" s="233"/>
      <c r="VVU64" s="233"/>
      <c r="VVV64" s="233"/>
      <c r="VVW64" s="231"/>
      <c r="VVX64" s="231"/>
      <c r="VVY64" s="229"/>
      <c r="VVZ64" s="230"/>
      <c r="VWA64" s="231"/>
      <c r="VWB64" s="232"/>
      <c r="VWC64" s="233"/>
      <c r="VWD64" s="233"/>
      <c r="VWE64" s="233"/>
      <c r="VWF64" s="233"/>
      <c r="VWG64" s="233"/>
      <c r="VWH64" s="233"/>
      <c r="VWI64" s="231"/>
      <c r="VWJ64" s="231"/>
      <c r="VWK64" s="229"/>
      <c r="VWL64" s="230"/>
      <c r="VWM64" s="231"/>
      <c r="VWN64" s="232"/>
      <c r="VWO64" s="233"/>
      <c r="VWP64" s="233"/>
      <c r="VWQ64" s="233"/>
      <c r="VWR64" s="233"/>
      <c r="VWS64" s="233"/>
      <c r="VWT64" s="233"/>
      <c r="VWU64" s="231"/>
      <c r="VWV64" s="231"/>
      <c r="VWW64" s="229"/>
      <c r="VWX64" s="230"/>
      <c r="VWY64" s="231"/>
      <c r="VWZ64" s="232"/>
      <c r="VXA64" s="233"/>
      <c r="VXB64" s="233"/>
      <c r="VXC64" s="233"/>
      <c r="VXD64" s="233"/>
      <c r="VXE64" s="233"/>
      <c r="VXF64" s="233"/>
      <c r="VXG64" s="231"/>
      <c r="VXH64" s="231"/>
      <c r="VXI64" s="229"/>
      <c r="VXJ64" s="230"/>
      <c r="VXK64" s="231"/>
      <c r="VXL64" s="232"/>
      <c r="VXM64" s="233"/>
      <c r="VXN64" s="233"/>
      <c r="VXO64" s="233"/>
      <c r="VXP64" s="233"/>
      <c r="VXQ64" s="233"/>
      <c r="VXR64" s="233"/>
      <c r="VXS64" s="231"/>
      <c r="VXT64" s="231"/>
      <c r="VXU64" s="229"/>
      <c r="VXV64" s="230"/>
      <c r="VXW64" s="231"/>
      <c r="VXX64" s="232"/>
      <c r="VXY64" s="233"/>
      <c r="VXZ64" s="233"/>
      <c r="VYA64" s="233"/>
      <c r="VYB64" s="233"/>
      <c r="VYC64" s="233"/>
      <c r="VYD64" s="233"/>
      <c r="VYE64" s="231"/>
      <c r="VYF64" s="231"/>
      <c r="VYG64" s="229"/>
      <c r="VYH64" s="230"/>
      <c r="VYI64" s="231"/>
      <c r="VYJ64" s="232"/>
      <c r="VYK64" s="233"/>
      <c r="VYL64" s="233"/>
      <c r="VYM64" s="233"/>
      <c r="VYN64" s="233"/>
      <c r="VYO64" s="233"/>
      <c r="VYP64" s="233"/>
      <c r="VYQ64" s="231"/>
      <c r="VYR64" s="231"/>
      <c r="VYS64" s="229"/>
      <c r="VYT64" s="230"/>
      <c r="VYU64" s="231"/>
      <c r="VYV64" s="232"/>
      <c r="VYW64" s="233"/>
      <c r="VYX64" s="233"/>
      <c r="VYY64" s="233"/>
      <c r="VYZ64" s="233"/>
      <c r="VZA64" s="233"/>
      <c r="VZB64" s="233"/>
      <c r="VZC64" s="231"/>
      <c r="VZD64" s="231"/>
      <c r="VZE64" s="229"/>
      <c r="VZF64" s="230"/>
      <c r="VZG64" s="231"/>
      <c r="VZH64" s="232"/>
      <c r="VZI64" s="233"/>
      <c r="VZJ64" s="233"/>
      <c r="VZK64" s="233"/>
      <c r="VZL64" s="233"/>
      <c r="VZM64" s="233"/>
      <c r="VZN64" s="233"/>
      <c r="VZO64" s="231"/>
      <c r="VZP64" s="231"/>
      <c r="VZQ64" s="229"/>
      <c r="VZR64" s="230"/>
      <c r="VZS64" s="231"/>
      <c r="VZT64" s="232"/>
      <c r="VZU64" s="233"/>
      <c r="VZV64" s="233"/>
      <c r="VZW64" s="233"/>
      <c r="VZX64" s="233"/>
      <c r="VZY64" s="233"/>
      <c r="VZZ64" s="233"/>
      <c r="WAA64" s="231"/>
      <c r="WAB64" s="231"/>
      <c r="WAC64" s="229"/>
      <c r="WAD64" s="230"/>
      <c r="WAE64" s="231"/>
      <c r="WAF64" s="232"/>
      <c r="WAG64" s="233"/>
      <c r="WAH64" s="233"/>
      <c r="WAI64" s="233"/>
      <c r="WAJ64" s="233"/>
      <c r="WAK64" s="233"/>
      <c r="WAL64" s="233"/>
      <c r="WAM64" s="231"/>
      <c r="WAN64" s="231"/>
      <c r="WAO64" s="229"/>
      <c r="WAP64" s="230"/>
      <c r="WAQ64" s="231"/>
      <c r="WAR64" s="232"/>
      <c r="WAS64" s="233"/>
      <c r="WAT64" s="233"/>
      <c r="WAU64" s="233"/>
      <c r="WAV64" s="233"/>
      <c r="WAW64" s="233"/>
      <c r="WAX64" s="233"/>
      <c r="WAY64" s="231"/>
      <c r="WAZ64" s="231"/>
      <c r="WBA64" s="229"/>
      <c r="WBB64" s="230"/>
      <c r="WBC64" s="231"/>
      <c r="WBD64" s="232"/>
      <c r="WBE64" s="233"/>
      <c r="WBF64" s="233"/>
      <c r="WBG64" s="233"/>
      <c r="WBH64" s="233"/>
      <c r="WBI64" s="233"/>
      <c r="WBJ64" s="233"/>
      <c r="WBK64" s="231"/>
      <c r="WBL64" s="231"/>
      <c r="WBM64" s="229"/>
      <c r="WBN64" s="230"/>
      <c r="WBO64" s="231"/>
      <c r="WBP64" s="232"/>
      <c r="WBQ64" s="233"/>
      <c r="WBR64" s="233"/>
      <c r="WBS64" s="233"/>
      <c r="WBT64" s="233"/>
      <c r="WBU64" s="233"/>
      <c r="WBV64" s="233"/>
      <c r="WBW64" s="231"/>
      <c r="WBX64" s="231"/>
      <c r="WBY64" s="229"/>
      <c r="WBZ64" s="230"/>
      <c r="WCA64" s="231"/>
      <c r="WCB64" s="232"/>
      <c r="WCC64" s="233"/>
      <c r="WCD64" s="233"/>
      <c r="WCE64" s="233"/>
      <c r="WCF64" s="233"/>
      <c r="WCG64" s="233"/>
      <c r="WCH64" s="233"/>
      <c r="WCI64" s="231"/>
      <c r="WCJ64" s="231"/>
      <c r="WCK64" s="229"/>
      <c r="WCL64" s="230"/>
      <c r="WCM64" s="231"/>
      <c r="WCN64" s="232"/>
      <c r="WCO64" s="233"/>
      <c r="WCP64" s="233"/>
      <c r="WCQ64" s="233"/>
      <c r="WCR64" s="233"/>
      <c r="WCS64" s="233"/>
      <c r="WCT64" s="233"/>
      <c r="WCU64" s="231"/>
      <c r="WCV64" s="231"/>
      <c r="WCW64" s="229"/>
      <c r="WCX64" s="230"/>
      <c r="WCY64" s="231"/>
      <c r="WCZ64" s="232"/>
      <c r="WDA64" s="233"/>
      <c r="WDB64" s="233"/>
      <c r="WDC64" s="233"/>
      <c r="WDD64" s="233"/>
      <c r="WDE64" s="233"/>
      <c r="WDF64" s="233"/>
      <c r="WDG64" s="231"/>
      <c r="WDH64" s="231"/>
      <c r="WDI64" s="229"/>
      <c r="WDJ64" s="230"/>
      <c r="WDK64" s="231"/>
      <c r="WDL64" s="232"/>
      <c r="WDM64" s="233"/>
      <c r="WDN64" s="233"/>
      <c r="WDO64" s="233"/>
      <c r="WDP64" s="233"/>
      <c r="WDQ64" s="233"/>
      <c r="WDR64" s="233"/>
      <c r="WDS64" s="231"/>
      <c r="WDT64" s="231"/>
      <c r="WDU64" s="229"/>
      <c r="WDV64" s="230"/>
      <c r="WDW64" s="231"/>
      <c r="WDX64" s="232"/>
      <c r="WDY64" s="233"/>
      <c r="WDZ64" s="233"/>
      <c r="WEA64" s="233"/>
      <c r="WEB64" s="233"/>
      <c r="WEC64" s="233"/>
      <c r="WED64" s="233"/>
      <c r="WEE64" s="231"/>
      <c r="WEF64" s="231"/>
      <c r="WEG64" s="229"/>
      <c r="WEH64" s="230"/>
      <c r="WEI64" s="231"/>
      <c r="WEJ64" s="232"/>
      <c r="WEK64" s="233"/>
      <c r="WEL64" s="233"/>
      <c r="WEM64" s="233"/>
      <c r="WEN64" s="233"/>
      <c r="WEO64" s="233"/>
      <c r="WEP64" s="233"/>
      <c r="WEQ64" s="231"/>
      <c r="WER64" s="231"/>
      <c r="WES64" s="229"/>
      <c r="WET64" s="230"/>
      <c r="WEU64" s="231"/>
      <c r="WEV64" s="232"/>
      <c r="WEW64" s="233"/>
      <c r="WEX64" s="233"/>
      <c r="WEY64" s="233"/>
      <c r="WEZ64" s="233"/>
      <c r="WFA64" s="233"/>
      <c r="WFB64" s="233"/>
      <c r="WFC64" s="231"/>
      <c r="WFD64" s="231"/>
      <c r="WFE64" s="229"/>
      <c r="WFF64" s="230"/>
      <c r="WFG64" s="231"/>
      <c r="WFH64" s="232"/>
      <c r="WFI64" s="233"/>
      <c r="WFJ64" s="233"/>
      <c r="WFK64" s="233"/>
      <c r="WFL64" s="233"/>
      <c r="WFM64" s="233"/>
      <c r="WFN64" s="233"/>
      <c r="WFO64" s="231"/>
      <c r="WFP64" s="231"/>
      <c r="WFQ64" s="229"/>
      <c r="WFR64" s="230"/>
      <c r="WFS64" s="231"/>
      <c r="WFT64" s="232"/>
      <c r="WFU64" s="233"/>
      <c r="WFV64" s="233"/>
      <c r="WFW64" s="233"/>
      <c r="WFX64" s="233"/>
      <c r="WFY64" s="233"/>
      <c r="WFZ64" s="233"/>
      <c r="WGA64" s="231"/>
      <c r="WGB64" s="231"/>
      <c r="WGC64" s="229"/>
      <c r="WGD64" s="230"/>
      <c r="WGE64" s="231"/>
      <c r="WGF64" s="232"/>
      <c r="WGG64" s="233"/>
      <c r="WGH64" s="233"/>
      <c r="WGI64" s="233"/>
      <c r="WGJ64" s="233"/>
      <c r="WGK64" s="233"/>
      <c r="WGL64" s="233"/>
      <c r="WGM64" s="231"/>
      <c r="WGN64" s="231"/>
      <c r="WGO64" s="229"/>
      <c r="WGP64" s="230"/>
      <c r="WGQ64" s="231"/>
      <c r="WGR64" s="232"/>
      <c r="WGS64" s="233"/>
      <c r="WGT64" s="233"/>
      <c r="WGU64" s="233"/>
      <c r="WGV64" s="233"/>
      <c r="WGW64" s="233"/>
      <c r="WGX64" s="233"/>
      <c r="WGY64" s="231"/>
      <c r="WGZ64" s="231"/>
      <c r="WHA64" s="229"/>
      <c r="WHB64" s="230"/>
      <c r="WHC64" s="231"/>
      <c r="WHD64" s="232"/>
      <c r="WHE64" s="233"/>
      <c r="WHF64" s="233"/>
      <c r="WHG64" s="233"/>
      <c r="WHH64" s="233"/>
      <c r="WHI64" s="233"/>
      <c r="WHJ64" s="233"/>
      <c r="WHK64" s="231"/>
      <c r="WHL64" s="231"/>
      <c r="WHM64" s="229"/>
      <c r="WHN64" s="230"/>
      <c r="WHO64" s="231"/>
      <c r="WHP64" s="232"/>
      <c r="WHQ64" s="233"/>
      <c r="WHR64" s="233"/>
      <c r="WHS64" s="233"/>
      <c r="WHT64" s="233"/>
      <c r="WHU64" s="233"/>
      <c r="WHV64" s="233"/>
      <c r="WHW64" s="231"/>
      <c r="WHX64" s="231"/>
      <c r="WHY64" s="229"/>
      <c r="WHZ64" s="230"/>
      <c r="WIA64" s="231"/>
      <c r="WIB64" s="232"/>
      <c r="WIC64" s="233"/>
      <c r="WID64" s="233"/>
      <c r="WIE64" s="233"/>
      <c r="WIF64" s="233"/>
      <c r="WIG64" s="233"/>
      <c r="WIH64" s="233"/>
      <c r="WII64" s="231"/>
      <c r="WIJ64" s="231"/>
      <c r="WIK64" s="229"/>
      <c r="WIL64" s="230"/>
      <c r="WIM64" s="231"/>
      <c r="WIN64" s="232"/>
      <c r="WIO64" s="233"/>
      <c r="WIP64" s="233"/>
      <c r="WIQ64" s="233"/>
      <c r="WIR64" s="233"/>
      <c r="WIS64" s="233"/>
      <c r="WIT64" s="233"/>
      <c r="WIU64" s="231"/>
      <c r="WIV64" s="231"/>
      <c r="WIW64" s="229"/>
      <c r="WIX64" s="230"/>
      <c r="WIY64" s="231"/>
      <c r="WIZ64" s="232"/>
      <c r="WJA64" s="233"/>
      <c r="WJB64" s="233"/>
      <c r="WJC64" s="233"/>
      <c r="WJD64" s="233"/>
      <c r="WJE64" s="233"/>
      <c r="WJF64" s="233"/>
      <c r="WJG64" s="231"/>
      <c r="WJH64" s="231"/>
      <c r="WJI64" s="229"/>
      <c r="WJJ64" s="230"/>
      <c r="WJK64" s="231"/>
      <c r="WJL64" s="232"/>
      <c r="WJM64" s="233"/>
      <c r="WJN64" s="233"/>
      <c r="WJO64" s="233"/>
      <c r="WJP64" s="233"/>
      <c r="WJQ64" s="233"/>
      <c r="WJR64" s="233"/>
      <c r="WJS64" s="231"/>
      <c r="WJT64" s="231"/>
      <c r="WJU64" s="229"/>
      <c r="WJV64" s="230"/>
      <c r="WJW64" s="231"/>
      <c r="WJX64" s="232"/>
      <c r="WJY64" s="233"/>
      <c r="WJZ64" s="233"/>
      <c r="WKA64" s="233"/>
      <c r="WKB64" s="233"/>
      <c r="WKC64" s="233"/>
      <c r="WKD64" s="233"/>
      <c r="WKE64" s="231"/>
      <c r="WKF64" s="231"/>
      <c r="WKG64" s="229"/>
      <c r="WKH64" s="230"/>
      <c r="WKI64" s="231"/>
      <c r="WKJ64" s="232"/>
      <c r="WKK64" s="233"/>
      <c r="WKL64" s="233"/>
      <c r="WKM64" s="233"/>
      <c r="WKN64" s="233"/>
      <c r="WKO64" s="233"/>
      <c r="WKP64" s="233"/>
      <c r="WKQ64" s="231"/>
      <c r="WKR64" s="231"/>
      <c r="WKS64" s="229"/>
      <c r="WKT64" s="230"/>
      <c r="WKU64" s="231"/>
      <c r="WKV64" s="232"/>
      <c r="WKW64" s="233"/>
      <c r="WKX64" s="233"/>
      <c r="WKY64" s="233"/>
      <c r="WKZ64" s="233"/>
      <c r="WLA64" s="233"/>
      <c r="WLB64" s="233"/>
      <c r="WLC64" s="231"/>
      <c r="WLD64" s="231"/>
      <c r="WLE64" s="229"/>
      <c r="WLF64" s="230"/>
      <c r="WLG64" s="231"/>
      <c r="WLH64" s="232"/>
      <c r="WLI64" s="233"/>
      <c r="WLJ64" s="233"/>
      <c r="WLK64" s="233"/>
      <c r="WLL64" s="233"/>
      <c r="WLM64" s="233"/>
      <c r="WLN64" s="233"/>
      <c r="WLO64" s="231"/>
      <c r="WLP64" s="231"/>
      <c r="WLQ64" s="229"/>
      <c r="WLR64" s="230"/>
      <c r="WLS64" s="231"/>
      <c r="WLT64" s="232"/>
      <c r="WLU64" s="233"/>
      <c r="WLV64" s="233"/>
      <c r="WLW64" s="233"/>
      <c r="WLX64" s="233"/>
      <c r="WLY64" s="233"/>
      <c r="WLZ64" s="233"/>
      <c r="WMA64" s="231"/>
      <c r="WMB64" s="231"/>
      <c r="WMC64" s="229"/>
      <c r="WMD64" s="230"/>
      <c r="WME64" s="231"/>
      <c r="WMF64" s="232"/>
      <c r="WMG64" s="233"/>
      <c r="WMH64" s="233"/>
      <c r="WMI64" s="233"/>
      <c r="WMJ64" s="233"/>
      <c r="WMK64" s="233"/>
      <c r="WML64" s="233"/>
      <c r="WMM64" s="231"/>
      <c r="WMN64" s="231"/>
      <c r="WMO64" s="229"/>
      <c r="WMP64" s="230"/>
      <c r="WMQ64" s="231"/>
      <c r="WMR64" s="232"/>
      <c r="WMS64" s="233"/>
      <c r="WMT64" s="233"/>
      <c r="WMU64" s="233"/>
      <c r="WMV64" s="233"/>
      <c r="WMW64" s="233"/>
      <c r="WMX64" s="233"/>
      <c r="WMY64" s="231"/>
      <c r="WMZ64" s="231"/>
      <c r="WNA64" s="229"/>
      <c r="WNB64" s="230"/>
      <c r="WNC64" s="231"/>
      <c r="WND64" s="232"/>
      <c r="WNE64" s="233"/>
      <c r="WNF64" s="233"/>
      <c r="WNG64" s="233"/>
      <c r="WNH64" s="233"/>
      <c r="WNI64" s="233"/>
      <c r="WNJ64" s="233"/>
      <c r="WNK64" s="231"/>
      <c r="WNL64" s="231"/>
      <c r="WNM64" s="229"/>
      <c r="WNN64" s="230"/>
      <c r="WNO64" s="231"/>
      <c r="WNP64" s="232"/>
      <c r="WNQ64" s="233"/>
      <c r="WNR64" s="233"/>
      <c r="WNS64" s="233"/>
      <c r="WNT64" s="233"/>
      <c r="WNU64" s="233"/>
      <c r="WNV64" s="233"/>
      <c r="WNW64" s="231"/>
      <c r="WNX64" s="231"/>
      <c r="WNY64" s="229"/>
      <c r="WNZ64" s="230"/>
      <c r="WOA64" s="231"/>
      <c r="WOB64" s="232"/>
      <c r="WOC64" s="233"/>
      <c r="WOD64" s="233"/>
      <c r="WOE64" s="233"/>
      <c r="WOF64" s="233"/>
      <c r="WOG64" s="233"/>
      <c r="WOH64" s="233"/>
      <c r="WOI64" s="231"/>
      <c r="WOJ64" s="231"/>
      <c r="WOK64" s="229"/>
      <c r="WOL64" s="230"/>
      <c r="WOM64" s="231"/>
      <c r="WON64" s="232"/>
      <c r="WOO64" s="233"/>
      <c r="WOP64" s="233"/>
      <c r="WOQ64" s="233"/>
      <c r="WOR64" s="233"/>
      <c r="WOS64" s="233"/>
      <c r="WOT64" s="233"/>
      <c r="WOU64" s="231"/>
      <c r="WOV64" s="231"/>
      <c r="WOW64" s="229"/>
      <c r="WOX64" s="230"/>
      <c r="WOY64" s="231"/>
      <c r="WOZ64" s="232"/>
      <c r="WPA64" s="233"/>
      <c r="WPB64" s="233"/>
      <c r="WPC64" s="233"/>
      <c r="WPD64" s="233"/>
      <c r="WPE64" s="233"/>
      <c r="WPF64" s="233"/>
      <c r="WPG64" s="231"/>
      <c r="WPH64" s="231"/>
      <c r="WPI64" s="229"/>
      <c r="WPJ64" s="230"/>
      <c r="WPK64" s="231"/>
      <c r="WPL64" s="232"/>
      <c r="WPM64" s="233"/>
      <c r="WPN64" s="233"/>
      <c r="WPO64" s="233"/>
      <c r="WPP64" s="233"/>
      <c r="WPQ64" s="233"/>
      <c r="WPR64" s="233"/>
      <c r="WPS64" s="231"/>
      <c r="WPT64" s="231"/>
      <c r="WPU64" s="229"/>
      <c r="WPV64" s="230"/>
      <c r="WPW64" s="231"/>
      <c r="WPX64" s="232"/>
      <c r="WPY64" s="233"/>
      <c r="WPZ64" s="233"/>
      <c r="WQA64" s="233"/>
      <c r="WQB64" s="233"/>
      <c r="WQC64" s="233"/>
      <c r="WQD64" s="233"/>
      <c r="WQE64" s="231"/>
      <c r="WQF64" s="231"/>
      <c r="WQG64" s="229"/>
      <c r="WQH64" s="230"/>
      <c r="WQI64" s="231"/>
      <c r="WQJ64" s="232"/>
      <c r="WQK64" s="233"/>
      <c r="WQL64" s="233"/>
      <c r="WQM64" s="233"/>
      <c r="WQN64" s="233"/>
      <c r="WQO64" s="233"/>
      <c r="WQP64" s="233"/>
      <c r="WQQ64" s="231"/>
      <c r="WQR64" s="231"/>
      <c r="WQS64" s="229"/>
      <c r="WQT64" s="230"/>
      <c r="WQU64" s="231"/>
      <c r="WQV64" s="232"/>
      <c r="WQW64" s="233"/>
      <c r="WQX64" s="233"/>
      <c r="WQY64" s="233"/>
      <c r="WQZ64" s="233"/>
      <c r="WRA64" s="233"/>
      <c r="WRB64" s="233"/>
      <c r="WRC64" s="231"/>
      <c r="WRD64" s="231"/>
      <c r="WRE64" s="229"/>
      <c r="WRF64" s="230"/>
      <c r="WRG64" s="231"/>
      <c r="WRH64" s="232"/>
      <c r="WRI64" s="233"/>
      <c r="WRJ64" s="233"/>
      <c r="WRK64" s="233"/>
      <c r="WRL64" s="233"/>
      <c r="WRM64" s="233"/>
      <c r="WRN64" s="233"/>
      <c r="WRO64" s="231"/>
      <c r="WRP64" s="231"/>
      <c r="WRQ64" s="229"/>
      <c r="WRR64" s="230"/>
      <c r="WRS64" s="231"/>
      <c r="WRT64" s="232"/>
      <c r="WRU64" s="233"/>
      <c r="WRV64" s="233"/>
      <c r="WRW64" s="233"/>
      <c r="WRX64" s="233"/>
      <c r="WRY64" s="233"/>
      <c r="WRZ64" s="233"/>
      <c r="WSA64" s="231"/>
      <c r="WSB64" s="231"/>
      <c r="WSC64" s="229"/>
      <c r="WSD64" s="230"/>
      <c r="WSE64" s="231"/>
      <c r="WSF64" s="232"/>
      <c r="WSG64" s="233"/>
      <c r="WSH64" s="233"/>
      <c r="WSI64" s="233"/>
      <c r="WSJ64" s="233"/>
      <c r="WSK64" s="233"/>
      <c r="WSL64" s="233"/>
      <c r="WSM64" s="231"/>
      <c r="WSN64" s="231"/>
      <c r="WSO64" s="229"/>
      <c r="WSP64" s="230"/>
      <c r="WSQ64" s="231"/>
      <c r="WSR64" s="232"/>
      <c r="WSS64" s="233"/>
      <c r="WST64" s="233"/>
      <c r="WSU64" s="233"/>
      <c r="WSV64" s="233"/>
      <c r="WSW64" s="233"/>
      <c r="WSX64" s="233"/>
      <c r="WSY64" s="231"/>
      <c r="WSZ64" s="231"/>
      <c r="WTA64" s="229"/>
      <c r="WTB64" s="230"/>
      <c r="WTC64" s="231"/>
      <c r="WTD64" s="232"/>
      <c r="WTE64" s="233"/>
      <c r="WTF64" s="233"/>
      <c r="WTG64" s="233"/>
      <c r="WTH64" s="233"/>
      <c r="WTI64" s="233"/>
      <c r="WTJ64" s="233"/>
      <c r="WTK64" s="231"/>
      <c r="WTL64" s="231"/>
      <c r="WTM64" s="229"/>
      <c r="WTN64" s="230"/>
      <c r="WTO64" s="231"/>
      <c r="WTP64" s="232"/>
      <c r="WTQ64" s="233"/>
      <c r="WTR64" s="233"/>
      <c r="WTS64" s="233"/>
      <c r="WTT64" s="233"/>
      <c r="WTU64" s="233"/>
      <c r="WTV64" s="233"/>
      <c r="WTW64" s="231"/>
      <c r="WTX64" s="231"/>
      <c r="WTY64" s="229"/>
      <c r="WTZ64" s="230"/>
      <c r="WUA64" s="231"/>
      <c r="WUB64" s="232"/>
      <c r="WUC64" s="233"/>
      <c r="WUD64" s="233"/>
      <c r="WUE64" s="233"/>
      <c r="WUF64" s="233"/>
      <c r="WUG64" s="233"/>
      <c r="WUH64" s="233"/>
      <c r="WUI64" s="231"/>
      <c r="WUJ64" s="231"/>
      <c r="WUK64" s="229"/>
      <c r="WUL64" s="230"/>
      <c r="WUM64" s="231"/>
      <c r="WUN64" s="232"/>
      <c r="WUO64" s="233"/>
      <c r="WUP64" s="233"/>
      <c r="WUQ64" s="233"/>
      <c r="WUR64" s="233"/>
      <c r="WUS64" s="233"/>
      <c r="WUT64" s="233"/>
      <c r="WUU64" s="231"/>
      <c r="WUV64" s="231"/>
      <c r="WUW64" s="229"/>
      <c r="WUX64" s="230"/>
      <c r="WUY64" s="231"/>
      <c r="WUZ64" s="232"/>
      <c r="WVA64" s="233"/>
      <c r="WVB64" s="233"/>
      <c r="WVC64" s="233"/>
      <c r="WVD64" s="233"/>
      <c r="WVE64" s="233"/>
      <c r="WVF64" s="233"/>
      <c r="WVG64" s="231"/>
      <c r="WVH64" s="231"/>
      <c r="WVI64" s="229"/>
      <c r="WVJ64" s="230"/>
      <c r="WVK64" s="231"/>
      <c r="WVL64" s="232"/>
      <c r="WVM64" s="233"/>
      <c r="WVN64" s="233"/>
      <c r="WVO64" s="233"/>
      <c r="WVP64" s="233"/>
      <c r="WVQ64" s="233"/>
      <c r="WVR64" s="233"/>
      <c r="WVS64" s="231"/>
      <c r="WVT64" s="231"/>
      <c r="WVU64" s="229"/>
      <c r="WVV64" s="230"/>
      <c r="WVW64" s="231"/>
      <c r="WVX64" s="232"/>
      <c r="WVY64" s="233"/>
      <c r="WVZ64" s="233"/>
      <c r="WWA64" s="233"/>
      <c r="WWB64" s="233"/>
      <c r="WWC64" s="233"/>
      <c r="WWD64" s="233"/>
      <c r="WWE64" s="231"/>
      <c r="WWF64" s="231"/>
      <c r="WWG64" s="229"/>
      <c r="WWH64" s="230"/>
      <c r="WWI64" s="231"/>
      <c r="WWJ64" s="232"/>
      <c r="WWK64" s="233"/>
      <c r="WWL64" s="233"/>
      <c r="WWM64" s="233"/>
      <c r="WWN64" s="233"/>
      <c r="WWO64" s="233"/>
      <c r="WWP64" s="233"/>
      <c r="WWQ64" s="231"/>
      <c r="WWR64" s="231"/>
      <c r="WWS64" s="229"/>
      <c r="WWT64" s="230"/>
      <c r="WWU64" s="231"/>
      <c r="WWV64" s="232"/>
      <c r="WWW64" s="233"/>
      <c r="WWX64" s="233"/>
      <c r="WWY64" s="233"/>
      <c r="WWZ64" s="233"/>
      <c r="WXA64" s="233"/>
      <c r="WXB64" s="233"/>
      <c r="WXC64" s="231"/>
      <c r="WXD64" s="231"/>
      <c r="WXE64" s="229"/>
      <c r="WXF64" s="230"/>
      <c r="WXG64" s="231"/>
      <c r="WXH64" s="232"/>
      <c r="WXI64" s="233"/>
      <c r="WXJ64" s="233"/>
      <c r="WXK64" s="233"/>
      <c r="WXL64" s="233"/>
      <c r="WXM64" s="233"/>
      <c r="WXN64" s="233"/>
      <c r="WXO64" s="231"/>
      <c r="WXP64" s="231"/>
      <c r="WXQ64" s="229"/>
      <c r="WXR64" s="230"/>
      <c r="WXS64" s="231"/>
      <c r="WXT64" s="232"/>
      <c r="WXU64" s="233"/>
      <c r="WXV64" s="233"/>
      <c r="WXW64" s="233"/>
      <c r="WXX64" s="233"/>
      <c r="WXY64" s="233"/>
      <c r="WXZ64" s="233"/>
      <c r="WYA64" s="231"/>
      <c r="WYB64" s="231"/>
      <c r="WYC64" s="229"/>
      <c r="WYD64" s="230"/>
      <c r="WYE64" s="231"/>
      <c r="WYF64" s="232"/>
      <c r="WYG64" s="233"/>
      <c r="WYH64" s="233"/>
      <c r="WYI64" s="233"/>
      <c r="WYJ64" s="233"/>
      <c r="WYK64" s="233"/>
      <c r="WYL64" s="233"/>
      <c r="WYM64" s="231"/>
      <c r="WYN64" s="231"/>
      <c r="WYO64" s="229"/>
      <c r="WYP64" s="230"/>
      <c r="WYQ64" s="231"/>
      <c r="WYR64" s="232"/>
      <c r="WYS64" s="233"/>
      <c r="WYT64" s="233"/>
      <c r="WYU64" s="233"/>
      <c r="WYV64" s="233"/>
      <c r="WYW64" s="233"/>
      <c r="WYX64" s="233"/>
      <c r="WYY64" s="231"/>
      <c r="WYZ64" s="231"/>
      <c r="WZA64" s="229"/>
      <c r="WZB64" s="230"/>
      <c r="WZC64" s="231"/>
      <c r="WZD64" s="232"/>
      <c r="WZE64" s="233"/>
      <c r="WZF64" s="233"/>
      <c r="WZG64" s="233"/>
      <c r="WZH64" s="233"/>
      <c r="WZI64" s="233"/>
      <c r="WZJ64" s="233"/>
      <c r="WZK64" s="231"/>
      <c r="WZL64" s="231"/>
      <c r="WZM64" s="229"/>
      <c r="WZN64" s="230"/>
      <c r="WZO64" s="231"/>
      <c r="WZP64" s="232"/>
      <c r="WZQ64" s="233"/>
      <c r="WZR64" s="233"/>
      <c r="WZS64" s="233"/>
      <c r="WZT64" s="233"/>
      <c r="WZU64" s="233"/>
      <c r="WZV64" s="233"/>
      <c r="WZW64" s="231"/>
      <c r="WZX64" s="231"/>
      <c r="WZY64" s="229"/>
      <c r="WZZ64" s="230"/>
      <c r="XAA64" s="231"/>
      <c r="XAB64" s="232"/>
      <c r="XAC64" s="233"/>
      <c r="XAD64" s="233"/>
      <c r="XAE64" s="233"/>
      <c r="XAF64" s="233"/>
      <c r="XAG64" s="233"/>
      <c r="XAH64" s="233"/>
      <c r="XAI64" s="231"/>
      <c r="XAJ64" s="231"/>
      <c r="XAK64" s="229"/>
      <c r="XAL64" s="230"/>
      <c r="XAM64" s="231"/>
      <c r="XAN64" s="232"/>
      <c r="XAO64" s="233"/>
      <c r="XAP64" s="233"/>
      <c r="XAQ64" s="233"/>
      <c r="XAR64" s="233"/>
      <c r="XAS64" s="233"/>
      <c r="XAT64" s="233"/>
      <c r="XAU64" s="231"/>
      <c r="XAV64" s="231"/>
      <c r="XAW64" s="229"/>
      <c r="XAX64" s="230"/>
      <c r="XAY64" s="231"/>
      <c r="XAZ64" s="232"/>
      <c r="XBA64" s="233"/>
      <c r="XBB64" s="233"/>
      <c r="XBC64" s="233"/>
      <c r="XBD64" s="233"/>
      <c r="XBE64" s="233"/>
      <c r="XBF64" s="233"/>
      <c r="XBG64" s="231"/>
      <c r="XBH64" s="231"/>
      <c r="XBI64" s="229"/>
      <c r="XBJ64" s="230"/>
      <c r="XBK64" s="231"/>
      <c r="XBL64" s="232"/>
      <c r="XBM64" s="233"/>
      <c r="XBN64" s="233"/>
      <c r="XBO64" s="233"/>
      <c r="XBP64" s="233"/>
      <c r="XBQ64" s="233"/>
      <c r="XBR64" s="233"/>
      <c r="XBS64" s="231"/>
      <c r="XBT64" s="231"/>
      <c r="XBU64" s="229"/>
      <c r="XBV64" s="230"/>
      <c r="XBW64" s="231"/>
      <c r="XBX64" s="232"/>
      <c r="XBY64" s="233"/>
      <c r="XBZ64" s="233"/>
      <c r="XCA64" s="233"/>
      <c r="XCB64" s="233"/>
      <c r="XCC64" s="233"/>
      <c r="XCD64" s="233"/>
      <c r="XCE64" s="231"/>
      <c r="XCF64" s="231"/>
      <c r="XCG64" s="229"/>
      <c r="XCH64" s="230"/>
      <c r="XCI64" s="231"/>
      <c r="XCJ64" s="232"/>
      <c r="XCK64" s="233"/>
      <c r="XCL64" s="233"/>
      <c r="XCM64" s="233"/>
      <c r="XCN64" s="233"/>
      <c r="XCO64" s="233"/>
      <c r="XCP64" s="233"/>
      <c r="XCQ64" s="231"/>
      <c r="XCR64" s="231"/>
      <c r="XCS64" s="229"/>
      <c r="XCT64" s="230"/>
      <c r="XCU64" s="231"/>
      <c r="XCV64" s="232"/>
      <c r="XCW64" s="233"/>
      <c r="XCX64" s="233"/>
      <c r="XCY64" s="233"/>
      <c r="XCZ64" s="233"/>
      <c r="XDA64" s="233"/>
      <c r="XDB64" s="233"/>
      <c r="XDC64" s="231"/>
      <c r="XDD64" s="231"/>
      <c r="XDE64" s="229"/>
      <c r="XDF64" s="230"/>
      <c r="XDG64" s="231"/>
      <c r="XDH64" s="232"/>
      <c r="XDI64" s="233"/>
      <c r="XDJ64" s="233"/>
      <c r="XDK64" s="233"/>
      <c r="XDL64" s="233"/>
      <c r="XDM64" s="233"/>
      <c r="XDN64" s="233"/>
      <c r="XDO64" s="231"/>
      <c r="XDP64" s="231"/>
      <c r="XDQ64" s="229"/>
      <c r="XDR64" s="230"/>
      <c r="XDS64" s="231"/>
      <c r="XDT64" s="232"/>
      <c r="XDU64" s="233"/>
      <c r="XDV64" s="233"/>
      <c r="XDW64" s="233"/>
      <c r="XDX64" s="233"/>
      <c r="XDY64" s="233"/>
      <c r="XDZ64" s="233"/>
      <c r="XEA64" s="231"/>
      <c r="XEB64" s="231"/>
      <c r="XEC64" s="229"/>
      <c r="XED64" s="230"/>
      <c r="XEE64" s="231"/>
      <c r="XEF64" s="232"/>
      <c r="XEG64" s="233"/>
      <c r="XEH64" s="233"/>
      <c r="XEI64" s="233"/>
      <c r="XEJ64" s="233"/>
      <c r="XEK64" s="233"/>
      <c r="XEL64" s="233"/>
      <c r="XEM64" s="231"/>
      <c r="XEN64" s="231"/>
      <c r="XEO64" s="229"/>
      <c r="XEP64" s="230"/>
      <c r="XEQ64" s="231"/>
      <c r="XER64" s="232"/>
      <c r="XES64" s="233"/>
      <c r="XET64" s="233"/>
      <c r="XEU64" s="233"/>
      <c r="XEV64" s="233"/>
      <c r="XEW64" s="233"/>
      <c r="XEX64" s="233"/>
      <c r="XEY64" s="231"/>
      <c r="XEZ64" s="231"/>
      <c r="XFA64" s="229"/>
      <c r="XFB64" s="230"/>
      <c r="XFC64" s="231"/>
      <c r="XFD64" s="232"/>
    </row>
    <row r="65" spans="16:23">
      <c r="P65" s="381"/>
      <c r="Q65" s="381"/>
      <c r="R65" s="381"/>
      <c r="S65" s="381"/>
      <c r="T65" s="381"/>
      <c r="U65" s="381"/>
      <c r="V65" s="381"/>
      <c r="W65" s="381"/>
    </row>
    <row r="66" spans="16:23">
      <c r="P66" s="381"/>
      <c r="Q66" s="381"/>
      <c r="R66" s="381"/>
      <c r="S66" s="381"/>
      <c r="T66" s="381"/>
      <c r="U66" s="381"/>
      <c r="V66" s="381"/>
      <c r="W66" s="381"/>
    </row>
  </sheetData>
  <sortState xmlns:xlrd2="http://schemas.microsoft.com/office/spreadsheetml/2017/richdata2" ref="A2:L49">
    <sortCondition ref="B2:B49"/>
    <sortCondition ref="A2:A49"/>
  </sortState>
  <pageMargins left="0.7" right="0.7" top="0.75" bottom="0.75" header="0.3" footer="0.3"/>
  <pageSetup scale="72" fitToHeight="2" orientation="landscape" r:id="rId1"/>
  <headerFooter>
    <oddHeader xml:space="preserve">&amp;CDRAFT NOT FOR DISTRIBUTION, INTERNAL USE ONLY
</oddHeader>
  </headerFooter>
  <rowBreaks count="1" manualBreakCount="1">
    <brk id="36" max="1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tint="-0.249977111117893"/>
    <pageSetUpPr fitToPage="1"/>
  </sheetPr>
  <dimension ref="A1:O85"/>
  <sheetViews>
    <sheetView zoomScaleNormal="100" workbookViewId="0">
      <selection sqref="A1:N1"/>
    </sheetView>
  </sheetViews>
  <sheetFormatPr defaultRowHeight="14.85"/>
  <cols>
    <col min="1" max="1" width="50.85546875" bestFit="1" customWidth="1"/>
    <col min="2" max="2" width="12.42578125"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45.85546875" style="49" customWidth="1"/>
  </cols>
  <sheetData>
    <row r="1" spans="1:14" ht="15.6">
      <c r="A1" s="745" t="s">
        <v>227</v>
      </c>
      <c r="B1" s="745"/>
      <c r="C1" s="745"/>
      <c r="D1" s="745"/>
      <c r="E1" s="745"/>
      <c r="F1" s="745"/>
      <c r="G1" s="745"/>
      <c r="H1" s="745"/>
      <c r="I1" s="745"/>
      <c r="J1" s="745"/>
      <c r="K1" s="745"/>
      <c r="L1" s="745"/>
      <c r="M1" s="745"/>
      <c r="N1" s="745"/>
    </row>
    <row r="2" spans="1:14">
      <c r="A2" s="65" t="s">
        <v>1080</v>
      </c>
      <c r="B2" s="381"/>
      <c r="C2" s="687"/>
      <c r="D2" s="381"/>
      <c r="E2" s="381"/>
      <c r="F2" s="381"/>
      <c r="G2" s="381"/>
      <c r="H2" s="381"/>
      <c r="I2" s="381"/>
      <c r="J2" s="381"/>
      <c r="K2" s="381"/>
      <c r="L2" s="381"/>
      <c r="M2" s="381"/>
      <c r="N2" s="565"/>
    </row>
    <row r="3" spans="1:14">
      <c r="A3" s="68" t="s">
        <v>1081</v>
      </c>
      <c r="B3" s="381"/>
      <c r="C3" s="687"/>
      <c r="D3" s="381"/>
      <c r="E3" s="381"/>
      <c r="F3" s="29"/>
      <c r="G3" s="554" t="s">
        <v>275</v>
      </c>
      <c r="H3" s="381"/>
      <c r="I3" s="381"/>
      <c r="J3" s="381"/>
      <c r="K3" s="381"/>
      <c r="L3" s="381"/>
      <c r="M3" s="381"/>
      <c r="N3" s="565"/>
    </row>
    <row r="4" spans="1:14" s="381" customFormat="1" ht="25.25">
      <c r="A4" s="528" t="s">
        <v>1082</v>
      </c>
      <c r="B4" s="420"/>
      <c r="C4" s="687"/>
      <c r="N4" s="565"/>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130"/>
    </row>
    <row r="7" spans="1:14" s="354" customFormat="1" ht="29.7">
      <c r="A7" s="36" t="s">
        <v>1083</v>
      </c>
      <c r="B7" s="36" t="s">
        <v>1084</v>
      </c>
      <c r="C7" s="37" t="s">
        <v>287</v>
      </c>
      <c r="D7" s="38"/>
      <c r="E7" s="263">
        <v>0</v>
      </c>
      <c r="F7" s="309">
        <f>SUM(G7:L7)</f>
        <v>173</v>
      </c>
      <c r="G7" s="310">
        <v>0</v>
      </c>
      <c r="H7" s="310">
        <v>0</v>
      </c>
      <c r="I7" s="310">
        <v>0</v>
      </c>
      <c r="J7" s="310">
        <v>0</v>
      </c>
      <c r="K7" s="310">
        <v>173</v>
      </c>
      <c r="L7" s="310">
        <v>0</v>
      </c>
      <c r="M7" s="311">
        <v>0</v>
      </c>
      <c r="N7" s="374" t="s">
        <v>1085</v>
      </c>
    </row>
    <row r="8" spans="1:14" s="354" customFormat="1">
      <c r="A8" s="36" t="s">
        <v>1086</v>
      </c>
      <c r="B8" s="36" t="s">
        <v>1087</v>
      </c>
      <c r="C8" s="37" t="s">
        <v>287</v>
      </c>
      <c r="D8" s="39">
        <v>0.88</v>
      </c>
      <c r="E8" s="263">
        <v>140</v>
      </c>
      <c r="F8" s="309">
        <f>SUM(G8:M8)</f>
        <v>144</v>
      </c>
      <c r="G8" s="310">
        <v>0</v>
      </c>
      <c r="H8" s="310">
        <v>0</v>
      </c>
      <c r="I8" s="310">
        <v>0</v>
      </c>
      <c r="J8" s="310">
        <v>0</v>
      </c>
      <c r="K8" s="310">
        <v>144</v>
      </c>
      <c r="L8" s="310">
        <v>0</v>
      </c>
      <c r="M8" s="311">
        <v>0</v>
      </c>
      <c r="N8" s="325" t="s">
        <v>889</v>
      </c>
    </row>
    <row r="9" spans="1:14" s="354" customFormat="1">
      <c r="A9" s="36" t="s">
        <v>1088</v>
      </c>
      <c r="B9" s="36"/>
      <c r="C9" s="37" t="s">
        <v>287</v>
      </c>
      <c r="D9" s="39"/>
      <c r="E9" s="263">
        <v>0</v>
      </c>
      <c r="F9" s="309">
        <f>SUM(G9:L9)</f>
        <v>0</v>
      </c>
      <c r="G9" s="310">
        <v>0</v>
      </c>
      <c r="H9" s="310">
        <v>0</v>
      </c>
      <c r="I9" s="310">
        <v>0</v>
      </c>
      <c r="J9" s="310">
        <v>0</v>
      </c>
      <c r="K9" s="310">
        <v>0</v>
      </c>
      <c r="L9" s="310">
        <v>0</v>
      </c>
      <c r="M9" s="311">
        <v>0</v>
      </c>
      <c r="N9" s="325"/>
    </row>
    <row r="10" spans="1:14" s="354" customFormat="1">
      <c r="A10" s="36" t="s">
        <v>1088</v>
      </c>
      <c r="B10" s="264"/>
      <c r="C10" s="37" t="s">
        <v>287</v>
      </c>
      <c r="D10" s="39">
        <v>0</v>
      </c>
      <c r="E10" s="263">
        <v>0</v>
      </c>
      <c r="F10" s="309">
        <f>SUM(G10:M10)</f>
        <v>0</v>
      </c>
      <c r="G10" s="310">
        <v>0</v>
      </c>
      <c r="H10" s="310">
        <v>0</v>
      </c>
      <c r="I10" s="310">
        <v>0</v>
      </c>
      <c r="J10" s="310">
        <v>0</v>
      </c>
      <c r="K10" s="310">
        <v>0</v>
      </c>
      <c r="L10" s="310">
        <v>0</v>
      </c>
      <c r="M10" s="311">
        <v>0</v>
      </c>
      <c r="N10" s="355"/>
    </row>
    <row r="11" spans="1:14" s="354" customFormat="1">
      <c r="A11" s="36" t="s">
        <v>551</v>
      </c>
      <c r="B11" s="265"/>
      <c r="C11" s="37" t="s">
        <v>287</v>
      </c>
      <c r="D11" s="39">
        <v>0</v>
      </c>
      <c r="E11" s="263">
        <v>0</v>
      </c>
      <c r="F11" s="309">
        <f>SUM(G11:L11)</f>
        <v>0</v>
      </c>
      <c r="G11" s="310">
        <v>0</v>
      </c>
      <c r="H11" s="310">
        <v>0</v>
      </c>
      <c r="I11" s="310">
        <v>0</v>
      </c>
      <c r="J11" s="310">
        <v>0</v>
      </c>
      <c r="K11" s="310">
        <v>0</v>
      </c>
      <c r="L11" s="310">
        <v>0</v>
      </c>
      <c r="M11" s="311"/>
      <c r="N11" s="327"/>
    </row>
    <row r="12" spans="1:14" s="354" customFormat="1">
      <c r="A12" s="36" t="s">
        <v>551</v>
      </c>
      <c r="B12" s="265"/>
      <c r="C12" s="37" t="s">
        <v>287</v>
      </c>
      <c r="D12" s="39">
        <v>0</v>
      </c>
      <c r="E12" s="263">
        <v>0</v>
      </c>
      <c r="F12" s="309">
        <f>SUM(G12:M12)</f>
        <v>0</v>
      </c>
      <c r="G12" s="310">
        <v>0</v>
      </c>
      <c r="H12" s="310">
        <v>0</v>
      </c>
      <c r="I12" s="310">
        <v>0</v>
      </c>
      <c r="J12" s="310">
        <v>0</v>
      </c>
      <c r="K12" s="310">
        <v>0</v>
      </c>
      <c r="L12" s="310">
        <v>0</v>
      </c>
      <c r="M12" s="311">
        <v>0</v>
      </c>
      <c r="N12" s="327"/>
    </row>
    <row r="13" spans="1:14">
      <c r="A13" s="40" t="s">
        <v>288</v>
      </c>
      <c r="B13" s="265"/>
      <c r="C13" s="266"/>
      <c r="D13" s="41">
        <f>SUM(D7:D12)</f>
        <v>0.88</v>
      </c>
      <c r="E13" s="43">
        <f t="shared" ref="E13:M13" si="0">SUM(E7:E12)</f>
        <v>140</v>
      </c>
      <c r="F13" s="43">
        <f t="shared" si="0"/>
        <v>317</v>
      </c>
      <c r="G13" s="43">
        <f t="shared" si="0"/>
        <v>0</v>
      </c>
      <c r="H13" s="43">
        <f t="shared" si="0"/>
        <v>0</v>
      </c>
      <c r="I13" s="43">
        <f t="shared" si="0"/>
        <v>0</v>
      </c>
      <c r="J13" s="43">
        <f t="shared" si="0"/>
        <v>0</v>
      </c>
      <c r="K13" s="43">
        <f t="shared" si="0"/>
        <v>317</v>
      </c>
      <c r="L13" s="43">
        <f t="shared" si="0"/>
        <v>0</v>
      </c>
      <c r="M13" s="43">
        <f t="shared" si="0"/>
        <v>0</v>
      </c>
      <c r="N13" s="325"/>
    </row>
    <row r="14" spans="1:14">
      <c r="A14" s="127" t="s">
        <v>289</v>
      </c>
      <c r="B14" s="128"/>
      <c r="C14" s="129"/>
      <c r="D14" s="128"/>
      <c r="E14" s="128"/>
      <c r="F14" s="89"/>
      <c r="G14" s="89"/>
      <c r="H14" s="89"/>
      <c r="I14" s="89"/>
      <c r="J14" s="89"/>
      <c r="K14" s="89"/>
      <c r="L14" s="89"/>
      <c r="M14" s="89"/>
      <c r="N14" s="130"/>
    </row>
    <row r="15" spans="1:14" s="354" customFormat="1" ht="29.7">
      <c r="A15" s="418" t="s">
        <v>1089</v>
      </c>
      <c r="B15" s="264" t="s">
        <v>1090</v>
      </c>
      <c r="C15" s="44">
        <v>252</v>
      </c>
      <c r="D15" s="45"/>
      <c r="E15" s="263">
        <v>45</v>
      </c>
      <c r="F15" s="309">
        <f>SUM(G15:M15)</f>
        <v>50</v>
      </c>
      <c r="G15" s="310">
        <v>0</v>
      </c>
      <c r="H15" s="310">
        <v>0</v>
      </c>
      <c r="I15" s="310">
        <v>0</v>
      </c>
      <c r="J15" s="310">
        <v>0</v>
      </c>
      <c r="K15" s="310">
        <v>0</v>
      </c>
      <c r="L15" s="310">
        <v>50</v>
      </c>
      <c r="M15" s="311">
        <v>0</v>
      </c>
      <c r="N15" s="327" t="s">
        <v>1091</v>
      </c>
    </row>
    <row r="16" spans="1:14" s="354" customFormat="1" ht="29.7">
      <c r="A16" s="264" t="s">
        <v>1092</v>
      </c>
      <c r="B16" s="264" t="s">
        <v>373</v>
      </c>
      <c r="C16" s="44">
        <v>253</v>
      </c>
      <c r="D16" s="45"/>
      <c r="E16" s="263">
        <v>61</v>
      </c>
      <c r="F16" s="309">
        <f>SUM(G16:M16)</f>
        <v>65</v>
      </c>
      <c r="G16" s="310">
        <v>0</v>
      </c>
      <c r="H16" s="310">
        <v>0</v>
      </c>
      <c r="I16" s="310">
        <v>0</v>
      </c>
      <c r="J16" s="310">
        <v>0</v>
      </c>
      <c r="K16" s="310">
        <v>0</v>
      </c>
      <c r="L16" s="310">
        <v>65</v>
      </c>
      <c r="M16" s="311">
        <v>0</v>
      </c>
      <c r="N16" s="327" t="s">
        <v>1093</v>
      </c>
    </row>
    <row r="17" spans="1:15" s="354" customFormat="1">
      <c r="A17" s="264" t="s">
        <v>293</v>
      </c>
      <c r="B17" s="264"/>
      <c r="C17" s="44">
        <v>253</v>
      </c>
      <c r="D17" s="45"/>
      <c r="E17" s="263">
        <v>0</v>
      </c>
      <c r="F17" s="309">
        <f>SUM(G17:M17)</f>
        <v>0</v>
      </c>
      <c r="G17" s="310">
        <v>0</v>
      </c>
      <c r="H17" s="157"/>
      <c r="I17" s="310">
        <v>0</v>
      </c>
      <c r="J17" s="310">
        <v>0</v>
      </c>
      <c r="K17" s="310">
        <v>0</v>
      </c>
      <c r="L17" s="310">
        <f>43+10-53</f>
        <v>0</v>
      </c>
      <c r="M17" s="311">
        <v>0</v>
      </c>
      <c r="N17" s="327"/>
      <c r="O17" s="381"/>
    </row>
    <row r="18" spans="1:15" s="354" customFormat="1">
      <c r="A18" s="264" t="s">
        <v>293</v>
      </c>
      <c r="B18" s="264"/>
      <c r="C18" s="44">
        <v>253</v>
      </c>
      <c r="D18" s="45"/>
      <c r="E18" s="263">
        <v>0</v>
      </c>
      <c r="F18" s="309">
        <f>SUM(G18:M18)</f>
        <v>0</v>
      </c>
      <c r="G18" s="310">
        <v>0</v>
      </c>
      <c r="H18" s="310">
        <v>0</v>
      </c>
      <c r="I18" s="310">
        <v>0</v>
      </c>
      <c r="J18" s="310">
        <v>0</v>
      </c>
      <c r="K18" s="310">
        <v>0</v>
      </c>
      <c r="L18" s="310">
        <v>0</v>
      </c>
      <c r="M18" s="311">
        <v>0</v>
      </c>
      <c r="N18" s="327"/>
      <c r="O18" s="381"/>
    </row>
    <row r="19" spans="1:15">
      <c r="A19" s="40" t="s">
        <v>294</v>
      </c>
      <c r="B19" s="265"/>
      <c r="C19" s="266"/>
      <c r="D19" s="267">
        <f>SUM(D16:D18)</f>
        <v>0</v>
      </c>
      <c r="E19" s="43">
        <f>SUM(E15:E18)</f>
        <v>106</v>
      </c>
      <c r="F19" s="43">
        <f>SUM(F15:F18)</f>
        <v>115</v>
      </c>
      <c r="G19" s="43">
        <f t="shared" ref="G19:M19" si="1">SUM(G15:G18)</f>
        <v>0</v>
      </c>
      <c r="H19" s="43">
        <f t="shared" si="1"/>
        <v>0</v>
      </c>
      <c r="I19" s="43">
        <f t="shared" si="1"/>
        <v>0</v>
      </c>
      <c r="J19" s="43">
        <f t="shared" si="1"/>
        <v>0</v>
      </c>
      <c r="K19" s="43">
        <f t="shared" si="1"/>
        <v>0</v>
      </c>
      <c r="L19" s="43">
        <f t="shared" si="1"/>
        <v>115</v>
      </c>
      <c r="M19" s="43">
        <f t="shared" si="1"/>
        <v>0</v>
      </c>
      <c r="N19" s="325"/>
      <c r="O19" s="381"/>
    </row>
    <row r="20" spans="1:15" s="7" customFormat="1">
      <c r="A20" s="127" t="s">
        <v>356</v>
      </c>
      <c r="B20" s="128"/>
      <c r="C20" s="129"/>
      <c r="D20" s="128"/>
      <c r="E20" s="128"/>
      <c r="F20" s="89"/>
      <c r="G20" s="89"/>
      <c r="H20" s="89"/>
      <c r="I20" s="89"/>
      <c r="J20" s="89"/>
      <c r="K20" s="89"/>
      <c r="L20" s="89"/>
      <c r="M20" s="89"/>
      <c r="N20" s="130"/>
      <c r="O20" s="358"/>
    </row>
    <row r="21" spans="1:15" s="354" customFormat="1">
      <c r="A21" s="264" t="s">
        <v>296</v>
      </c>
      <c r="B21" s="36"/>
      <c r="C21" s="37" t="s">
        <v>297</v>
      </c>
      <c r="D21" s="38">
        <v>0</v>
      </c>
      <c r="E21" s="263">
        <v>39</v>
      </c>
      <c r="F21" s="309">
        <f>SUM(G21:M21)</f>
        <v>39</v>
      </c>
      <c r="G21" s="310">
        <v>0</v>
      </c>
      <c r="H21" s="310">
        <v>0</v>
      </c>
      <c r="I21" s="310">
        <v>0</v>
      </c>
      <c r="J21" s="310">
        <v>0</v>
      </c>
      <c r="K21" s="310">
        <v>39</v>
      </c>
      <c r="L21" s="310">
        <v>0</v>
      </c>
      <c r="M21" s="311">
        <v>0</v>
      </c>
      <c r="N21" s="327" t="s">
        <v>1094</v>
      </c>
      <c r="O21" s="381"/>
    </row>
    <row r="22" spans="1:15" s="354" customFormat="1">
      <c r="A22" s="264" t="s">
        <v>298</v>
      </c>
      <c r="B22" s="36"/>
      <c r="C22" s="44" t="s">
        <v>299</v>
      </c>
      <c r="D22" s="45"/>
      <c r="E22" s="263">
        <v>0</v>
      </c>
      <c r="F22" s="309">
        <f t="shared" ref="F22:F40" si="2">SUM(G22:M22)</f>
        <v>0</v>
      </c>
      <c r="G22" s="310">
        <v>0</v>
      </c>
      <c r="H22" s="310">
        <v>0</v>
      </c>
      <c r="I22" s="310">
        <v>0</v>
      </c>
      <c r="J22" s="310">
        <v>0</v>
      </c>
      <c r="K22" s="310">
        <v>0</v>
      </c>
      <c r="L22" s="310">
        <v>0</v>
      </c>
      <c r="M22" s="311">
        <v>0</v>
      </c>
      <c r="N22" s="355"/>
      <c r="O22" s="381"/>
    </row>
    <row r="23" spans="1:15" s="354" customFormat="1">
      <c r="A23" s="264" t="s">
        <v>300</v>
      </c>
      <c r="B23" s="36"/>
      <c r="C23" s="44" t="s">
        <v>301</v>
      </c>
      <c r="D23" s="45"/>
      <c r="E23" s="263">
        <v>9</v>
      </c>
      <c r="F23" s="309">
        <f t="shared" si="2"/>
        <v>9</v>
      </c>
      <c r="G23" s="310">
        <v>0</v>
      </c>
      <c r="H23" s="310">
        <v>0</v>
      </c>
      <c r="I23" s="310">
        <v>0</v>
      </c>
      <c r="J23" s="310">
        <v>0</v>
      </c>
      <c r="K23" s="310">
        <v>9</v>
      </c>
      <c r="L23" s="310">
        <v>0</v>
      </c>
      <c r="M23" s="311">
        <v>0</v>
      </c>
      <c r="N23" s="355" t="s">
        <v>1095</v>
      </c>
      <c r="O23" s="381"/>
    </row>
    <row r="24" spans="1:15" s="354" customFormat="1" ht="15.05" customHeight="1">
      <c r="A24" s="264" t="s">
        <v>302</v>
      </c>
      <c r="B24" s="36"/>
      <c r="C24" s="44" t="s">
        <v>303</v>
      </c>
      <c r="D24" s="45"/>
      <c r="E24" s="263">
        <v>4</v>
      </c>
      <c r="F24" s="309">
        <f t="shared" si="2"/>
        <v>4</v>
      </c>
      <c r="G24" s="310">
        <v>0</v>
      </c>
      <c r="H24" s="310">
        <v>0</v>
      </c>
      <c r="I24" s="310">
        <v>0</v>
      </c>
      <c r="J24" s="310">
        <v>0</v>
      </c>
      <c r="K24" s="310">
        <v>4</v>
      </c>
      <c r="L24" s="310">
        <v>0</v>
      </c>
      <c r="M24" s="311">
        <v>0</v>
      </c>
      <c r="N24" s="355" t="s">
        <v>1096</v>
      </c>
      <c r="O24" s="381"/>
    </row>
    <row r="25" spans="1:15" s="354" customFormat="1">
      <c r="A25" s="264" t="s">
        <v>304</v>
      </c>
      <c r="B25" s="36"/>
      <c r="C25" s="44">
        <v>251</v>
      </c>
      <c r="D25" s="45"/>
      <c r="E25" s="263">
        <v>0</v>
      </c>
      <c r="F25" s="309">
        <f t="shared" si="2"/>
        <v>0</v>
      </c>
      <c r="G25" s="310">
        <v>0</v>
      </c>
      <c r="H25" s="310">
        <v>0</v>
      </c>
      <c r="I25" s="310">
        <v>0</v>
      </c>
      <c r="J25" s="310">
        <v>0</v>
      </c>
      <c r="K25" s="310">
        <v>0</v>
      </c>
      <c r="L25" s="310">
        <v>0</v>
      </c>
      <c r="M25" s="311">
        <v>0</v>
      </c>
      <c r="N25" s="325"/>
      <c r="O25" s="381"/>
    </row>
    <row r="26" spans="1:15" s="354" customFormat="1">
      <c r="A26" s="264" t="s">
        <v>1097</v>
      </c>
      <c r="B26" s="419"/>
      <c r="C26" s="44">
        <v>252</v>
      </c>
      <c r="D26" s="45"/>
      <c r="E26" s="263">
        <v>0</v>
      </c>
      <c r="F26" s="309">
        <f t="shared" si="2"/>
        <v>0</v>
      </c>
      <c r="G26" s="310">
        <v>0</v>
      </c>
      <c r="H26" s="310">
        <v>0</v>
      </c>
      <c r="I26" s="310">
        <v>0</v>
      </c>
      <c r="J26" s="310">
        <v>0</v>
      </c>
      <c r="K26" s="310">
        <v>0</v>
      </c>
      <c r="L26" s="310">
        <v>0</v>
      </c>
      <c r="M26" s="311">
        <v>0</v>
      </c>
      <c r="N26" s="325"/>
      <c r="O26" s="381"/>
    </row>
    <row r="27" spans="1:15" s="354" customFormat="1">
      <c r="A27" s="264" t="s">
        <v>1097</v>
      </c>
      <c r="B27" s="419"/>
      <c r="C27" s="44">
        <v>252</v>
      </c>
      <c r="D27" s="45"/>
      <c r="E27" s="263">
        <v>0</v>
      </c>
      <c r="F27" s="309">
        <f t="shared" si="2"/>
        <v>0</v>
      </c>
      <c r="G27" s="310">
        <v>0</v>
      </c>
      <c r="H27" s="310">
        <v>0</v>
      </c>
      <c r="I27" s="310">
        <v>0</v>
      </c>
      <c r="J27" s="310">
        <v>0</v>
      </c>
      <c r="K27" s="310">
        <v>0</v>
      </c>
      <c r="L27" s="310">
        <v>0</v>
      </c>
      <c r="M27" s="311">
        <v>0</v>
      </c>
      <c r="N27" s="325"/>
      <c r="O27" s="381"/>
    </row>
    <row r="28" spans="1:15" s="354" customFormat="1">
      <c r="A28" s="264" t="s">
        <v>1097</v>
      </c>
      <c r="B28" s="419"/>
      <c r="C28" s="44">
        <v>252</v>
      </c>
      <c r="D28" s="45"/>
      <c r="E28" s="263">
        <v>0</v>
      </c>
      <c r="F28" s="309">
        <f t="shared" si="2"/>
        <v>0</v>
      </c>
      <c r="G28" s="310">
        <v>0</v>
      </c>
      <c r="H28" s="310">
        <v>0</v>
      </c>
      <c r="I28" s="310">
        <v>0</v>
      </c>
      <c r="J28" s="310">
        <v>0</v>
      </c>
      <c r="K28" s="310">
        <v>0</v>
      </c>
      <c r="L28" s="310">
        <v>0</v>
      </c>
      <c r="M28" s="311">
        <v>0</v>
      </c>
      <c r="N28" s="325"/>
      <c r="O28" s="381"/>
    </row>
    <row r="29" spans="1:15" s="354" customFormat="1" ht="74.25">
      <c r="A29" s="73" t="s">
        <v>1098</v>
      </c>
      <c r="B29" s="419" t="s">
        <v>1099</v>
      </c>
      <c r="C29" s="44">
        <v>252</v>
      </c>
      <c r="D29" s="45"/>
      <c r="E29" s="263">
        <v>551</v>
      </c>
      <c r="F29" s="309">
        <f t="shared" si="2"/>
        <v>415</v>
      </c>
      <c r="G29" s="310"/>
      <c r="H29" s="310"/>
      <c r="I29" s="310"/>
      <c r="J29" s="310"/>
      <c r="K29" s="310">
        <v>415</v>
      </c>
      <c r="L29" s="310"/>
      <c r="M29" s="311"/>
      <c r="N29" s="325" t="s">
        <v>1100</v>
      </c>
      <c r="O29" s="381"/>
    </row>
    <row r="30" spans="1:15" s="354" customFormat="1">
      <c r="A30" s="264" t="s">
        <v>1097</v>
      </c>
      <c r="B30" s="418"/>
      <c r="C30" s="44">
        <v>252</v>
      </c>
      <c r="D30" s="45"/>
      <c r="E30" s="263">
        <v>0</v>
      </c>
      <c r="F30" s="309">
        <f t="shared" si="2"/>
        <v>0</v>
      </c>
      <c r="G30" s="310">
        <v>0</v>
      </c>
      <c r="H30" s="310">
        <v>0</v>
      </c>
      <c r="I30" s="310">
        <v>0</v>
      </c>
      <c r="J30" s="310">
        <v>0</v>
      </c>
      <c r="K30" s="310">
        <v>0</v>
      </c>
      <c r="L30" s="310">
        <v>0</v>
      </c>
      <c r="M30" s="311">
        <v>0</v>
      </c>
      <c r="N30" s="419"/>
      <c r="O30" s="313"/>
    </row>
    <row r="31" spans="1:15" s="354" customFormat="1" ht="29.7">
      <c r="A31" s="418" t="s">
        <v>1101</v>
      </c>
      <c r="B31" s="418" t="s">
        <v>864</v>
      </c>
      <c r="C31" s="44">
        <v>252</v>
      </c>
      <c r="D31" s="45"/>
      <c r="E31" s="263">
        <v>562</v>
      </c>
      <c r="F31" s="309">
        <f t="shared" si="2"/>
        <v>603</v>
      </c>
      <c r="G31" s="310">
        <v>0</v>
      </c>
      <c r="H31" s="310">
        <v>0</v>
      </c>
      <c r="I31" s="310">
        <v>0</v>
      </c>
      <c r="J31" s="310">
        <v>0</v>
      </c>
      <c r="K31" s="310">
        <v>603</v>
      </c>
      <c r="L31" s="310">
        <f>SUM(150-150)</f>
        <v>0</v>
      </c>
      <c r="M31" s="311">
        <v>0</v>
      </c>
      <c r="N31" s="327" t="s">
        <v>1102</v>
      </c>
      <c r="O31" s="381"/>
    </row>
    <row r="32" spans="1:15" s="354" customFormat="1" ht="44.55">
      <c r="A32" s="418" t="s">
        <v>1103</v>
      </c>
      <c r="B32" s="418" t="s">
        <v>1005</v>
      </c>
      <c r="C32" s="44">
        <v>252</v>
      </c>
      <c r="D32" s="45"/>
      <c r="E32" s="263">
        <v>458</v>
      </c>
      <c r="F32" s="309">
        <f>SUM(G32:L32)</f>
        <v>651</v>
      </c>
      <c r="G32" s="310">
        <v>0</v>
      </c>
      <c r="H32" s="310">
        <v>0</v>
      </c>
      <c r="I32" s="310">
        <v>0</v>
      </c>
      <c r="J32" s="310">
        <v>0</v>
      </c>
      <c r="K32" s="310">
        <v>651</v>
      </c>
      <c r="L32" s="310">
        <v>0</v>
      </c>
      <c r="M32" s="311">
        <v>0</v>
      </c>
      <c r="N32" s="327" t="s">
        <v>1104</v>
      </c>
      <c r="O32" s="381"/>
    </row>
    <row r="33" spans="1:14" s="354" customFormat="1" ht="29.7">
      <c r="A33" s="264" t="s">
        <v>1105</v>
      </c>
      <c r="B33" s="36" t="s">
        <v>1106</v>
      </c>
      <c r="C33" s="44">
        <v>252</v>
      </c>
      <c r="D33" s="45"/>
      <c r="E33" s="263">
        <v>26</v>
      </c>
      <c r="F33" s="309">
        <f>SUM(G33:M33)</f>
        <v>26</v>
      </c>
      <c r="G33" s="310">
        <v>0</v>
      </c>
      <c r="H33" s="310">
        <v>0</v>
      </c>
      <c r="I33" s="310">
        <v>0</v>
      </c>
      <c r="J33" s="310">
        <v>0</v>
      </c>
      <c r="K33" s="310">
        <v>26</v>
      </c>
      <c r="L33" s="310">
        <v>0</v>
      </c>
      <c r="M33" s="311">
        <v>0</v>
      </c>
      <c r="N33" s="327" t="s">
        <v>1107</v>
      </c>
    </row>
    <row r="34" spans="1:14" s="354" customFormat="1">
      <c r="A34" s="418" t="s">
        <v>848</v>
      </c>
      <c r="B34" s="418"/>
      <c r="C34" s="44">
        <v>252</v>
      </c>
      <c r="D34" s="45"/>
      <c r="E34" s="263">
        <v>0</v>
      </c>
      <c r="F34" s="309">
        <f>SUM(G34:L34)</f>
        <v>0</v>
      </c>
      <c r="G34" s="310">
        <v>0</v>
      </c>
      <c r="H34" s="310">
        <v>0</v>
      </c>
      <c r="I34" s="310">
        <v>0</v>
      </c>
      <c r="J34" s="310">
        <v>0</v>
      </c>
      <c r="K34" s="310">
        <v>0</v>
      </c>
      <c r="L34" s="310">
        <v>0</v>
      </c>
      <c r="M34" s="311">
        <v>0</v>
      </c>
      <c r="N34" s="419"/>
    </row>
    <row r="35" spans="1:14" s="354" customFormat="1" ht="29.7">
      <c r="A35" s="264" t="s">
        <v>314</v>
      </c>
      <c r="B35" s="36"/>
      <c r="C35" s="44">
        <v>252</v>
      </c>
      <c r="D35" s="45"/>
      <c r="E35" s="263">
        <v>0</v>
      </c>
      <c r="F35" s="309">
        <f t="shared" si="2"/>
        <v>10</v>
      </c>
      <c r="G35" s="310">
        <v>0</v>
      </c>
      <c r="H35" s="310">
        <v>0</v>
      </c>
      <c r="I35" s="310">
        <v>0</v>
      </c>
      <c r="J35" s="310">
        <v>0</v>
      </c>
      <c r="K35" s="310">
        <v>10</v>
      </c>
      <c r="L35" s="310">
        <v>0</v>
      </c>
      <c r="M35" s="311">
        <v>0</v>
      </c>
      <c r="N35" s="419" t="s">
        <v>1108</v>
      </c>
    </row>
    <row r="36" spans="1:14" s="354" customFormat="1">
      <c r="A36" s="264" t="s">
        <v>315</v>
      </c>
      <c r="B36" s="36"/>
      <c r="C36" s="44">
        <v>253</v>
      </c>
      <c r="D36" s="264"/>
      <c r="E36" s="263">
        <v>0</v>
      </c>
      <c r="F36" s="309">
        <f t="shared" si="2"/>
        <v>0</v>
      </c>
      <c r="G36" s="310">
        <v>0</v>
      </c>
      <c r="H36" s="310">
        <v>0</v>
      </c>
      <c r="I36" s="310">
        <v>0</v>
      </c>
      <c r="J36" s="310">
        <v>0</v>
      </c>
      <c r="K36" s="310">
        <v>0</v>
      </c>
      <c r="L36" s="310">
        <v>0</v>
      </c>
      <c r="M36" s="311">
        <v>0</v>
      </c>
      <c r="N36" s="325"/>
    </row>
    <row r="37" spans="1:14" s="354" customFormat="1">
      <c r="A37" s="264" t="s">
        <v>316</v>
      </c>
      <c r="B37" s="36"/>
      <c r="C37" s="44">
        <v>255</v>
      </c>
      <c r="D37" s="264"/>
      <c r="E37" s="263">
        <v>0</v>
      </c>
      <c r="F37" s="309">
        <f t="shared" si="2"/>
        <v>0</v>
      </c>
      <c r="G37" s="310">
        <v>0</v>
      </c>
      <c r="H37" s="310">
        <v>0</v>
      </c>
      <c r="I37" s="310">
        <v>0</v>
      </c>
      <c r="J37" s="310">
        <v>0</v>
      </c>
      <c r="K37" s="310">
        <v>0</v>
      </c>
      <c r="L37" s="310">
        <v>0</v>
      </c>
      <c r="M37" s="311">
        <v>0</v>
      </c>
      <c r="N37" s="325"/>
    </row>
    <row r="38" spans="1:14" s="354" customFormat="1">
      <c r="A38" s="264" t="s">
        <v>317</v>
      </c>
      <c r="B38" s="36"/>
      <c r="C38" s="44">
        <v>256</v>
      </c>
      <c r="D38" s="264"/>
      <c r="E38" s="263">
        <v>0</v>
      </c>
      <c r="F38" s="309">
        <f t="shared" si="2"/>
        <v>0</v>
      </c>
      <c r="G38" s="310">
        <v>0</v>
      </c>
      <c r="H38" s="310">
        <v>0</v>
      </c>
      <c r="I38" s="310">
        <v>0</v>
      </c>
      <c r="J38" s="310">
        <v>0</v>
      </c>
      <c r="K38" s="310">
        <v>0</v>
      </c>
      <c r="L38" s="310">
        <v>0</v>
      </c>
      <c r="M38" s="311">
        <v>0</v>
      </c>
      <c r="N38" s="325"/>
    </row>
    <row r="39" spans="1:14" s="354" customFormat="1">
      <c r="A39" s="264" t="s">
        <v>318</v>
      </c>
      <c r="B39" s="36"/>
      <c r="C39" s="44">
        <v>257</v>
      </c>
      <c r="D39" s="264"/>
      <c r="E39" s="263">
        <v>0</v>
      </c>
      <c r="F39" s="309">
        <f t="shared" si="2"/>
        <v>0</v>
      </c>
      <c r="G39" s="310">
        <v>0</v>
      </c>
      <c r="H39" s="310">
        <v>0</v>
      </c>
      <c r="I39" s="310">
        <v>0</v>
      </c>
      <c r="J39" s="310">
        <v>0</v>
      </c>
      <c r="K39" s="310">
        <v>0</v>
      </c>
      <c r="L39" s="310">
        <v>0</v>
      </c>
      <c r="M39" s="311">
        <v>0</v>
      </c>
      <c r="N39" s="325"/>
    </row>
    <row r="40" spans="1:14" s="354" customFormat="1" ht="29.7">
      <c r="A40" s="264" t="s">
        <v>319</v>
      </c>
      <c r="B40" s="36"/>
      <c r="C40" s="44" t="s">
        <v>320</v>
      </c>
      <c r="D40" s="264"/>
      <c r="E40" s="263">
        <v>2</v>
      </c>
      <c r="F40" s="309">
        <f t="shared" si="2"/>
        <v>2</v>
      </c>
      <c r="G40" s="310">
        <v>0</v>
      </c>
      <c r="H40" s="310">
        <v>0</v>
      </c>
      <c r="I40" s="310">
        <v>0</v>
      </c>
      <c r="J40" s="310">
        <v>0</v>
      </c>
      <c r="K40" s="310">
        <v>2</v>
      </c>
      <c r="L40" s="310">
        <v>0</v>
      </c>
      <c r="M40" s="311">
        <v>0</v>
      </c>
      <c r="N40" s="325" t="s">
        <v>1109</v>
      </c>
    </row>
    <row r="41" spans="1:14" s="381" customFormat="1" ht="29.7">
      <c r="A41" s="265" t="s">
        <v>321</v>
      </c>
      <c r="B41" s="36"/>
      <c r="C41" s="266" t="s">
        <v>322</v>
      </c>
      <c r="D41" s="265"/>
      <c r="E41" s="263">
        <v>10</v>
      </c>
      <c r="F41" s="309">
        <f>SUM(G41:M41)</f>
        <v>10</v>
      </c>
      <c r="G41" s="310">
        <v>0</v>
      </c>
      <c r="H41" s="310">
        <v>0</v>
      </c>
      <c r="I41" s="310">
        <v>0</v>
      </c>
      <c r="J41" s="310">
        <v>0</v>
      </c>
      <c r="K41" s="310">
        <v>10</v>
      </c>
      <c r="L41" s="310">
        <v>0</v>
      </c>
      <c r="M41" s="311">
        <v>0</v>
      </c>
      <c r="N41" s="325" t="s">
        <v>1110</v>
      </c>
    </row>
    <row r="42" spans="1:14" s="354" customFormat="1" ht="29.7">
      <c r="A42" s="265" t="s">
        <v>323</v>
      </c>
      <c r="B42" s="390"/>
      <c r="C42" s="266" t="s">
        <v>324</v>
      </c>
      <c r="D42" s="265"/>
      <c r="E42" s="318">
        <v>0</v>
      </c>
      <c r="F42" s="309">
        <f>SUM(G42:M42)</f>
        <v>0</v>
      </c>
      <c r="G42" s="165">
        <v>0</v>
      </c>
      <c r="H42" s="165">
        <v>0</v>
      </c>
      <c r="I42" s="165">
        <v>0</v>
      </c>
      <c r="J42" s="165">
        <v>0</v>
      </c>
      <c r="K42" s="165">
        <f>-173+125+48</f>
        <v>0</v>
      </c>
      <c r="L42" s="165">
        <v>0</v>
      </c>
      <c r="M42" s="166">
        <v>0</v>
      </c>
      <c r="N42" s="325" t="s">
        <v>1111</v>
      </c>
    </row>
    <row r="43" spans="1:14">
      <c r="A43" s="40" t="s">
        <v>326</v>
      </c>
      <c r="B43" s="265"/>
      <c r="C43" s="266"/>
      <c r="D43" s="267"/>
      <c r="E43" s="42">
        <f t="shared" ref="E43:M43" si="3">SUM(E21:E42)</f>
        <v>1661</v>
      </c>
      <c r="F43" s="43">
        <f t="shared" si="3"/>
        <v>1769</v>
      </c>
      <c r="G43" s="43">
        <f t="shared" si="3"/>
        <v>0</v>
      </c>
      <c r="H43" s="43">
        <f t="shared" si="3"/>
        <v>0</v>
      </c>
      <c r="I43" s="43">
        <f t="shared" si="3"/>
        <v>0</v>
      </c>
      <c r="J43" s="43">
        <f t="shared" si="3"/>
        <v>0</v>
      </c>
      <c r="K43" s="43">
        <f t="shared" si="3"/>
        <v>1769</v>
      </c>
      <c r="L43" s="43">
        <f t="shared" si="3"/>
        <v>0</v>
      </c>
      <c r="M43" s="43">
        <f t="shared" si="3"/>
        <v>0</v>
      </c>
      <c r="N43" s="325"/>
    </row>
    <row r="44" spans="1:14">
      <c r="A44" s="40" t="s">
        <v>327</v>
      </c>
      <c r="B44" s="51"/>
      <c r="C44" s="149"/>
      <c r="D44" s="267"/>
      <c r="E44" s="42"/>
      <c r="F44" s="240">
        <f>SUM(G44:M44)</f>
        <v>0</v>
      </c>
      <c r="G44" s="240"/>
      <c r="H44" s="240"/>
      <c r="I44" s="240"/>
      <c r="J44" s="240"/>
      <c r="K44" s="240"/>
      <c r="L44" s="240"/>
      <c r="M44" s="43"/>
      <c r="N44" s="162"/>
    </row>
    <row r="45" spans="1:14">
      <c r="A45" s="40" t="s">
        <v>328</v>
      </c>
      <c r="B45" s="46"/>
      <c r="C45" s="47"/>
      <c r="D45" s="48">
        <f>D43+D19+D13+D44</f>
        <v>0.88</v>
      </c>
      <c r="E45" s="42">
        <f t="shared" ref="E45:M45" si="4">E43+E19+E13-E44</f>
        <v>1907</v>
      </c>
      <c r="F45" s="17">
        <f t="shared" si="4"/>
        <v>2201</v>
      </c>
      <c r="G45" s="17">
        <f t="shared" si="4"/>
        <v>0</v>
      </c>
      <c r="H45" s="17">
        <f t="shared" si="4"/>
        <v>0</v>
      </c>
      <c r="I45" s="17">
        <f t="shared" si="4"/>
        <v>0</v>
      </c>
      <c r="J45" s="17">
        <f t="shared" si="4"/>
        <v>0</v>
      </c>
      <c r="K45" s="17">
        <f t="shared" si="4"/>
        <v>2086</v>
      </c>
      <c r="L45" s="17">
        <f t="shared" si="4"/>
        <v>115</v>
      </c>
      <c r="M45" s="17">
        <f t="shared" si="4"/>
        <v>0</v>
      </c>
      <c r="N45" s="352"/>
    </row>
    <row r="46" spans="1:14">
      <c r="A46" s="381"/>
      <c r="B46" s="219" t="s">
        <v>759</v>
      </c>
      <c r="C46" s="53"/>
      <c r="D46" s="53"/>
      <c r="E46" s="248">
        <f>E45-C49</f>
        <v>1907</v>
      </c>
      <c r="F46" s="248">
        <f>F45-B49</f>
        <v>2201</v>
      </c>
      <c r="G46" s="381"/>
      <c r="H46" s="381"/>
      <c r="I46" s="381"/>
      <c r="J46" s="381"/>
      <c r="K46" s="381"/>
      <c r="L46" s="381"/>
      <c r="M46" s="381"/>
      <c r="N46" s="565"/>
    </row>
    <row r="47" spans="1:14">
      <c r="A47" s="381"/>
      <c r="B47" s="381"/>
      <c r="C47" s="381"/>
      <c r="D47" s="381"/>
      <c r="E47" s="381"/>
      <c r="F47" s="381"/>
      <c r="G47" s="381"/>
      <c r="H47" s="381"/>
      <c r="I47" s="381"/>
      <c r="J47" s="381"/>
      <c r="K47" s="381"/>
      <c r="L47" s="381"/>
      <c r="M47" s="381"/>
      <c r="N47" s="565"/>
    </row>
    <row r="48" spans="1:14">
      <c r="A48" s="56" t="s">
        <v>392</v>
      </c>
      <c r="B48" s="31">
        <v>2022</v>
      </c>
      <c r="C48" s="31">
        <v>2021</v>
      </c>
      <c r="D48" s="31"/>
      <c r="E48" s="31"/>
      <c r="F48" s="31"/>
      <c r="G48" s="381"/>
      <c r="H48" s="381"/>
      <c r="I48" s="381"/>
      <c r="J48" s="381"/>
      <c r="K48" s="381"/>
      <c r="L48" s="381"/>
      <c r="M48" s="381"/>
      <c r="N48" s="565"/>
    </row>
    <row r="49" spans="1:14">
      <c r="A49" s="57" t="s">
        <v>394</v>
      </c>
      <c r="B49" s="58">
        <f>+M45</f>
        <v>0</v>
      </c>
      <c r="C49" s="58">
        <v>0</v>
      </c>
      <c r="D49" s="312"/>
      <c r="E49" s="313"/>
      <c r="F49" s="313"/>
      <c r="G49" s="381"/>
      <c r="H49" s="381"/>
      <c r="I49" s="381"/>
      <c r="J49" s="381"/>
      <c r="K49" s="381"/>
      <c r="L49" s="381"/>
      <c r="M49" s="381"/>
      <c r="N49" s="565"/>
    </row>
    <row r="50" spans="1:14">
      <c r="A50" s="264" t="s">
        <v>396</v>
      </c>
      <c r="B50" s="59">
        <f>+M45</f>
        <v>0</v>
      </c>
      <c r="C50" s="59">
        <v>0</v>
      </c>
      <c r="D50" s="31"/>
      <c r="E50" s="31"/>
      <c r="F50" s="31"/>
      <c r="G50" s="381"/>
      <c r="H50" s="381"/>
      <c r="I50" s="381"/>
      <c r="J50" s="381"/>
      <c r="K50" s="381"/>
      <c r="L50" s="381"/>
      <c r="M50" s="381"/>
      <c r="N50" s="565"/>
    </row>
    <row r="51" spans="1:14">
      <c r="A51" s="60" t="s">
        <v>784</v>
      </c>
      <c r="B51" s="61">
        <f>+B49-B50</f>
        <v>0</v>
      </c>
      <c r="C51" s="61">
        <v>0</v>
      </c>
      <c r="D51" s="313"/>
      <c r="E51" s="313"/>
      <c r="F51" s="313"/>
      <c r="G51" s="381"/>
      <c r="H51" s="381"/>
      <c r="I51" s="381"/>
      <c r="J51" s="381"/>
      <c r="K51" s="381"/>
      <c r="L51" s="381"/>
      <c r="M51" s="381"/>
      <c r="N51" s="565"/>
    </row>
    <row r="54" spans="1:14" s="381" customFormat="1" ht="15.6" thickBot="1">
      <c r="A54" s="31"/>
      <c r="B54" s="31"/>
      <c r="C54" s="32"/>
      <c r="D54" s="31"/>
      <c r="E54" s="31"/>
      <c r="F54" s="31"/>
      <c r="G54" s="31"/>
      <c r="H54" s="31"/>
      <c r="I54" s="31"/>
      <c r="J54" s="31"/>
      <c r="K54" s="31"/>
      <c r="L54" s="31"/>
      <c r="M54" s="31"/>
      <c r="N54" s="562"/>
    </row>
    <row r="55" spans="1:14" s="381" customFormat="1" ht="15.6">
      <c r="A55" s="764" t="s">
        <v>330</v>
      </c>
      <c r="B55" s="765"/>
      <c r="C55" s="765"/>
      <c r="D55" s="765"/>
      <c r="E55" s="765"/>
      <c r="F55" s="765"/>
      <c r="G55" s="581"/>
      <c r="H55" s="31"/>
      <c r="I55" s="31"/>
      <c r="J55" s="31"/>
      <c r="K55" s="31"/>
      <c r="L55" s="31"/>
      <c r="M55" s="31"/>
      <c r="N55" s="562"/>
    </row>
    <row r="56" spans="1:14" s="381" customFormat="1" ht="15.6">
      <c r="A56" s="738"/>
      <c r="B56" s="739"/>
      <c r="C56" s="739"/>
      <c r="D56" s="739"/>
      <c r="E56" s="739"/>
      <c r="F56" s="739"/>
      <c r="G56" s="582"/>
      <c r="H56" s="31"/>
      <c r="I56" s="31"/>
      <c r="J56" s="31"/>
      <c r="K56" s="31"/>
      <c r="L56" s="31"/>
      <c r="M56" s="31"/>
      <c r="N56" s="562"/>
    </row>
    <row r="57" spans="1:14" s="381" customFormat="1">
      <c r="A57" s="740" t="s">
        <v>331</v>
      </c>
      <c r="B57" s="741"/>
      <c r="C57" s="583"/>
      <c r="D57" s="583"/>
      <c r="E57" s="583"/>
      <c r="F57" s="583"/>
      <c r="G57" s="582"/>
      <c r="H57" s="31"/>
      <c r="I57" s="31"/>
      <c r="J57" s="31"/>
      <c r="K57" s="31"/>
      <c r="L57" s="31"/>
      <c r="M57" s="31"/>
      <c r="N57" s="562"/>
    </row>
    <row r="58" spans="1:14" s="381" customFormat="1">
      <c r="A58" s="584" t="s">
        <v>480</v>
      </c>
      <c r="B58" s="585">
        <f>+E45</f>
        <v>1907</v>
      </c>
      <c r="C58" s="586"/>
      <c r="D58" s="587"/>
      <c r="E58" s="587"/>
      <c r="F58" s="587"/>
      <c r="G58" s="582"/>
      <c r="H58" s="31"/>
      <c r="I58" s="31"/>
      <c r="J58" s="31"/>
      <c r="K58" s="31"/>
      <c r="L58" s="31"/>
      <c r="M58" s="31"/>
      <c r="N58" s="562"/>
    </row>
    <row r="59" spans="1:14" s="381" customFormat="1">
      <c r="A59" s="588" t="s">
        <v>481</v>
      </c>
      <c r="B59" s="589">
        <f>+F45</f>
        <v>2201</v>
      </c>
      <c r="C59" s="586"/>
      <c r="D59" s="587"/>
      <c r="E59" s="587"/>
      <c r="F59" s="587"/>
      <c r="G59" s="582"/>
      <c r="H59" s="31"/>
      <c r="I59" s="31"/>
      <c r="J59" s="31"/>
      <c r="K59" s="31"/>
      <c r="L59" s="31"/>
      <c r="M59" s="31"/>
      <c r="N59" s="562"/>
    </row>
    <row r="60" spans="1:14" s="381" customFormat="1">
      <c r="A60" s="590" t="s">
        <v>334</v>
      </c>
      <c r="B60" s="591">
        <f>+B59-B58</f>
        <v>294</v>
      </c>
      <c r="C60" s="586"/>
      <c r="D60" s="587"/>
      <c r="E60" s="587"/>
      <c r="F60" s="587"/>
      <c r="G60" s="582"/>
      <c r="H60" s="31"/>
      <c r="I60" s="31"/>
      <c r="J60" s="31"/>
      <c r="K60" s="31"/>
      <c r="L60" s="31"/>
      <c r="M60" s="31"/>
      <c r="N60" s="562"/>
    </row>
    <row r="61" spans="1:14" s="381" customFormat="1">
      <c r="A61" s="590" t="s">
        <v>335</v>
      </c>
      <c r="B61" s="592">
        <f>+B60/B58</f>
        <v>0.15416885159937074</v>
      </c>
      <c r="C61" s="586"/>
      <c r="D61" s="587"/>
      <c r="E61" s="587"/>
      <c r="F61" s="587"/>
      <c r="G61" s="582"/>
      <c r="H61" s="31"/>
      <c r="I61" s="31"/>
      <c r="J61" s="31"/>
      <c r="K61" s="31"/>
      <c r="L61" s="31"/>
      <c r="M61" s="31"/>
      <c r="N61" s="562"/>
    </row>
    <row r="62" spans="1:14" s="381" customFormat="1">
      <c r="A62" s="593"/>
      <c r="B62" s="587"/>
      <c r="C62" s="686"/>
      <c r="D62" s="587"/>
      <c r="E62" s="587"/>
      <c r="F62" s="587"/>
      <c r="G62" s="582"/>
      <c r="H62" s="31"/>
      <c r="I62" s="31"/>
      <c r="J62" s="31"/>
      <c r="K62" s="31"/>
      <c r="L62" s="31"/>
      <c r="M62" s="31"/>
      <c r="N62" s="562"/>
    </row>
    <row r="63" spans="1:14" s="381" customFormat="1">
      <c r="A63" s="731" t="s">
        <v>336</v>
      </c>
      <c r="B63" s="732"/>
      <c r="C63" s="732"/>
      <c r="D63" s="732"/>
      <c r="E63" s="732"/>
      <c r="F63" s="732"/>
      <c r="G63" s="582"/>
      <c r="H63" s="31"/>
      <c r="I63" s="31"/>
      <c r="J63" s="31"/>
      <c r="K63" s="31"/>
      <c r="L63" s="31"/>
      <c r="M63" s="31"/>
      <c r="N63" s="562"/>
    </row>
    <row r="64" spans="1:14" s="381" customFormat="1">
      <c r="A64" s="742"/>
      <c r="B64" s="743"/>
      <c r="C64" s="743"/>
      <c r="D64" s="743"/>
      <c r="E64" s="743"/>
      <c r="F64" s="744"/>
      <c r="G64" s="582"/>
      <c r="H64" s="31"/>
      <c r="I64" s="31"/>
      <c r="J64" s="31"/>
      <c r="K64" s="31"/>
      <c r="L64" s="31"/>
      <c r="M64" s="31"/>
      <c r="N64" s="562"/>
    </row>
    <row r="65" spans="1:14" s="381" customFormat="1">
      <c r="A65" s="594"/>
      <c r="B65" s="595"/>
      <c r="C65" s="595"/>
      <c r="D65" s="595"/>
      <c r="E65" s="595"/>
      <c r="F65" s="595"/>
      <c r="G65" s="582"/>
      <c r="H65" s="31"/>
      <c r="I65" s="31"/>
      <c r="J65" s="31"/>
      <c r="K65" s="31"/>
      <c r="L65" s="31"/>
      <c r="M65" s="31"/>
      <c r="N65" s="562"/>
    </row>
    <row r="66" spans="1:14" s="381" customFormat="1">
      <c r="A66" s="596" t="s">
        <v>337</v>
      </c>
      <c r="B66" s="587"/>
      <c r="C66" s="686"/>
      <c r="D66" s="587"/>
      <c r="E66" s="587"/>
      <c r="F66" s="587"/>
      <c r="G66" s="582"/>
      <c r="H66" s="31"/>
      <c r="I66" s="31"/>
      <c r="J66" s="31"/>
      <c r="K66" s="31"/>
      <c r="L66" s="31"/>
      <c r="M66" s="31"/>
      <c r="N66" s="562"/>
    </row>
    <row r="67" spans="1:14" s="381" customFormat="1">
      <c r="A67" s="735"/>
      <c r="B67" s="736"/>
      <c r="C67" s="736"/>
      <c r="D67" s="736"/>
      <c r="E67" s="736"/>
      <c r="F67" s="737"/>
      <c r="G67" s="582"/>
      <c r="H67" s="31"/>
      <c r="I67" s="31"/>
      <c r="J67" s="31"/>
      <c r="K67" s="31"/>
      <c r="L67" s="31"/>
      <c r="M67" s="31"/>
      <c r="N67" s="562"/>
    </row>
    <row r="68" spans="1:14" s="381" customFormat="1">
      <c r="A68" s="593"/>
      <c r="B68" s="587"/>
      <c r="C68" s="686"/>
      <c r="D68" s="587"/>
      <c r="E68" s="587"/>
      <c r="F68" s="587"/>
      <c r="G68" s="582"/>
      <c r="H68" s="31"/>
      <c r="I68" s="31"/>
      <c r="J68" s="31"/>
      <c r="K68" s="31"/>
      <c r="L68" s="31"/>
      <c r="M68" s="31"/>
      <c r="N68" s="562"/>
    </row>
    <row r="69" spans="1:14" s="381" customFormat="1">
      <c r="A69" s="731" t="s">
        <v>365</v>
      </c>
      <c r="B69" s="732"/>
      <c r="C69" s="732"/>
      <c r="D69" s="732"/>
      <c r="E69" s="732"/>
      <c r="F69" s="732"/>
      <c r="G69" s="582"/>
      <c r="H69" s="31"/>
      <c r="I69" s="31"/>
      <c r="J69" s="31"/>
      <c r="K69" s="31"/>
      <c r="L69" s="31"/>
      <c r="M69" s="31"/>
      <c r="N69" s="562"/>
    </row>
    <row r="70" spans="1:14" s="381" customFormat="1">
      <c r="A70" s="733" t="s">
        <v>849</v>
      </c>
      <c r="B70" s="734"/>
      <c r="C70" s="734"/>
      <c r="D70" s="734"/>
      <c r="E70" s="734"/>
      <c r="F70" s="734"/>
      <c r="G70" s="582"/>
      <c r="H70" s="31"/>
      <c r="I70" s="31"/>
      <c r="J70" s="31"/>
      <c r="K70" s="31"/>
      <c r="L70" s="31"/>
      <c r="M70" s="31"/>
      <c r="N70" s="562"/>
    </row>
    <row r="71" spans="1:14" s="381" customFormat="1">
      <c r="A71" s="735"/>
      <c r="B71" s="736"/>
      <c r="C71" s="736"/>
      <c r="D71" s="736"/>
      <c r="E71" s="736"/>
      <c r="F71" s="737"/>
      <c r="G71" s="582"/>
      <c r="H71" s="31"/>
      <c r="I71" s="31"/>
      <c r="J71" s="31"/>
      <c r="K71" s="31"/>
      <c r="L71" s="31"/>
      <c r="M71" s="31"/>
      <c r="N71" s="562"/>
    </row>
    <row r="72" spans="1:14" s="381" customFormat="1">
      <c r="A72" s="596"/>
      <c r="B72" s="587"/>
      <c r="C72" s="686"/>
      <c r="D72" s="587"/>
      <c r="E72" s="587"/>
      <c r="F72" s="587"/>
      <c r="G72" s="582"/>
      <c r="H72" s="31"/>
      <c r="I72" s="31"/>
      <c r="J72" s="31"/>
      <c r="K72" s="31"/>
      <c r="L72" s="31"/>
      <c r="M72" s="31"/>
      <c r="N72" s="562"/>
    </row>
    <row r="73" spans="1:14" s="381" customFormat="1">
      <c r="A73" s="731" t="s">
        <v>340</v>
      </c>
      <c r="B73" s="732"/>
      <c r="C73" s="732"/>
      <c r="D73" s="732"/>
      <c r="E73" s="732"/>
      <c r="F73" s="587"/>
      <c r="G73" s="582"/>
      <c r="H73" s="31"/>
      <c r="I73" s="31"/>
      <c r="J73" s="31"/>
      <c r="K73" s="31"/>
      <c r="L73" s="31"/>
      <c r="M73" s="31"/>
      <c r="N73" s="562"/>
    </row>
    <row r="74" spans="1:14" s="381" customFormat="1">
      <c r="A74" s="728"/>
      <c r="B74" s="729"/>
      <c r="C74" s="729"/>
      <c r="D74" s="729"/>
      <c r="E74" s="729"/>
      <c r="F74" s="730"/>
      <c r="G74" s="582"/>
      <c r="H74" s="31"/>
      <c r="I74" s="31"/>
      <c r="J74" s="31"/>
      <c r="K74" s="31"/>
      <c r="L74" s="31"/>
      <c r="M74" s="31"/>
      <c r="N74" s="562"/>
    </row>
    <row r="75" spans="1:14" s="381" customFormat="1">
      <c r="A75" s="593"/>
      <c r="B75" s="587"/>
      <c r="C75" s="686"/>
      <c r="D75" s="587"/>
      <c r="E75" s="587"/>
      <c r="F75" s="587"/>
      <c r="G75" s="582"/>
      <c r="H75" s="31"/>
      <c r="I75" s="31"/>
      <c r="J75" s="31"/>
      <c r="K75" s="31"/>
      <c r="L75" s="31"/>
      <c r="M75" s="31"/>
      <c r="N75" s="562"/>
    </row>
    <row r="76" spans="1:14" s="381" customFormat="1">
      <c r="A76" s="596" t="s">
        <v>341</v>
      </c>
      <c r="B76" s="587"/>
      <c r="C76" s="686"/>
      <c r="D76" s="587"/>
      <c r="E76" s="587"/>
      <c r="F76" s="587"/>
      <c r="G76" s="582"/>
      <c r="H76" s="31"/>
      <c r="I76" s="31"/>
      <c r="J76" s="31"/>
      <c r="K76" s="31"/>
      <c r="L76" s="31"/>
      <c r="M76" s="31"/>
      <c r="N76" s="562"/>
    </row>
    <row r="77" spans="1:14" s="381" customFormat="1">
      <c r="A77" s="597" t="s">
        <v>342</v>
      </c>
      <c r="B77" s="587"/>
      <c r="C77" s="686"/>
      <c r="D77" s="587"/>
      <c r="E77" s="587"/>
      <c r="F77" s="587"/>
      <c r="G77" s="582"/>
      <c r="H77" s="31"/>
      <c r="I77" s="31"/>
      <c r="J77" s="31"/>
      <c r="K77" s="31"/>
      <c r="L77" s="31"/>
      <c r="M77" s="31"/>
      <c r="N77" s="562"/>
    </row>
    <row r="78" spans="1:14" s="381" customFormat="1" ht="29.7" customHeight="1">
      <c r="A78" s="719" t="s">
        <v>343</v>
      </c>
      <c r="B78" s="720"/>
      <c r="C78" s="720"/>
      <c r="D78" s="720"/>
      <c r="E78" s="720"/>
      <c r="F78" s="720"/>
      <c r="G78" s="582"/>
      <c r="H78" s="31"/>
      <c r="I78" s="31"/>
      <c r="J78" s="31"/>
      <c r="K78" s="31"/>
      <c r="L78" s="31"/>
      <c r="M78" s="31"/>
      <c r="N78" s="562"/>
    </row>
    <row r="79" spans="1:14" s="381" customFormat="1">
      <c r="A79" s="721"/>
      <c r="B79" s="722"/>
      <c r="C79" s="722"/>
      <c r="D79" s="722"/>
      <c r="E79" s="722"/>
      <c r="F79" s="723"/>
      <c r="G79" s="582"/>
      <c r="H79" s="31"/>
      <c r="I79" s="31"/>
      <c r="J79" s="31"/>
      <c r="K79" s="31"/>
      <c r="L79" s="31"/>
      <c r="M79" s="31"/>
      <c r="N79" s="562"/>
    </row>
    <row r="80" spans="1:14" s="381" customFormat="1">
      <c r="A80" s="724"/>
      <c r="B80" s="725"/>
      <c r="C80" s="725"/>
      <c r="D80" s="725"/>
      <c r="E80" s="725"/>
      <c r="F80" s="725"/>
      <c r="G80" s="582"/>
      <c r="H80" s="31"/>
      <c r="I80" s="31"/>
      <c r="J80" s="31"/>
      <c r="K80" s="31"/>
      <c r="L80" s="31"/>
      <c r="M80" s="31"/>
      <c r="N80" s="562"/>
    </row>
    <row r="81" spans="1:14" s="381" customFormat="1">
      <c r="A81" s="597" t="s">
        <v>344</v>
      </c>
      <c r="B81" s="587"/>
      <c r="C81" s="686"/>
      <c r="D81" s="587"/>
      <c r="E81" s="587"/>
      <c r="F81" s="587"/>
      <c r="G81" s="582"/>
      <c r="H81" s="31"/>
      <c r="I81" s="31"/>
      <c r="J81" s="31"/>
      <c r="K81" s="31"/>
      <c r="L81" s="31"/>
      <c r="M81" s="31"/>
      <c r="N81" s="562"/>
    </row>
    <row r="82" spans="1:14" s="381" customFormat="1" ht="30.45" customHeight="1">
      <c r="A82" s="726" t="s">
        <v>345</v>
      </c>
      <c r="B82" s="727"/>
      <c r="C82" s="727"/>
      <c r="D82" s="727"/>
      <c r="E82" s="727"/>
      <c r="F82" s="727"/>
      <c r="G82" s="582"/>
      <c r="H82" s="31"/>
      <c r="I82" s="31"/>
      <c r="J82" s="31"/>
      <c r="K82" s="31"/>
      <c r="L82" s="31"/>
      <c r="M82" s="31"/>
      <c r="N82" s="562"/>
    </row>
    <row r="83" spans="1:14" s="381" customFormat="1">
      <c r="A83" s="728"/>
      <c r="B83" s="729"/>
      <c r="C83" s="729"/>
      <c r="D83" s="729"/>
      <c r="E83" s="729"/>
      <c r="F83" s="730"/>
      <c r="G83" s="582"/>
      <c r="H83" s="31"/>
      <c r="I83" s="31"/>
      <c r="J83" s="31"/>
      <c r="K83" s="31"/>
      <c r="L83" s="31"/>
      <c r="M83" s="31"/>
      <c r="N83" s="562"/>
    </row>
    <row r="84" spans="1:14" s="381" customFormat="1" ht="15.6" thickBot="1">
      <c r="A84" s="598"/>
      <c r="B84" s="599"/>
      <c r="C84" s="600"/>
      <c r="D84" s="599"/>
      <c r="E84" s="599"/>
      <c r="F84" s="599"/>
      <c r="G84" s="601"/>
      <c r="H84" s="31"/>
      <c r="I84" s="31"/>
      <c r="J84" s="31"/>
      <c r="K84" s="31"/>
      <c r="L84" s="31"/>
      <c r="M84" s="31"/>
      <c r="N84" s="562"/>
    </row>
    <row r="85" spans="1:14" s="381" customFormat="1">
      <c r="A85" s="31"/>
      <c r="B85" s="31"/>
      <c r="C85" s="32"/>
      <c r="D85" s="31"/>
      <c r="E85" s="31"/>
      <c r="F85" s="31"/>
      <c r="G85" s="31"/>
      <c r="H85" s="31"/>
      <c r="I85" s="31"/>
      <c r="J85" s="31"/>
      <c r="K85" s="31"/>
      <c r="L85" s="31"/>
      <c r="M85" s="31"/>
      <c r="N85" s="562"/>
    </row>
  </sheetData>
  <mergeCells count="17">
    <mergeCell ref="A1:N1"/>
    <mergeCell ref="A55:F55"/>
    <mergeCell ref="A56:F56"/>
    <mergeCell ref="A57:B57"/>
    <mergeCell ref="A63:F63"/>
    <mergeCell ref="A64:F64"/>
    <mergeCell ref="A67:F67"/>
    <mergeCell ref="A69:F69"/>
    <mergeCell ref="A70:F70"/>
    <mergeCell ref="A71:F71"/>
    <mergeCell ref="A82:F82"/>
    <mergeCell ref="A83:F83"/>
    <mergeCell ref="A73:E73"/>
    <mergeCell ref="A74:F74"/>
    <mergeCell ref="A78:F78"/>
    <mergeCell ref="A79:F79"/>
    <mergeCell ref="A80:F80"/>
  </mergeCells>
  <printOptions horizontalCentered="1"/>
  <pageMargins left="0.2" right="0.2" top="0.75" bottom="0.75" header="0.3" footer="0.3"/>
  <pageSetup scale="65" fitToHeight="0" orientation="landscape" r:id="rId1"/>
  <headerFooter>
    <oddHeader xml:space="preserve">&amp;CDRAFT NOT FOR DISTRIBUTION, INTERNAL USE ONLY
</oddHead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2" tint="-0.249977111117893"/>
    <pageSetUpPr fitToPage="1"/>
  </sheetPr>
  <dimension ref="A1:N75"/>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7.85546875" customWidth="1"/>
    <col min="5" max="5" width="10.7109375" customWidth="1"/>
    <col min="6" max="6" width="9.42578125"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60.140625" customWidth="1"/>
  </cols>
  <sheetData>
    <row r="1" spans="1:14" ht="15.6">
      <c r="A1" s="745" t="s">
        <v>482</v>
      </c>
      <c r="B1" s="745"/>
      <c r="C1" s="745"/>
      <c r="D1" s="745"/>
      <c r="E1" s="745"/>
      <c r="F1" s="745"/>
      <c r="G1" s="745"/>
      <c r="H1" s="745"/>
      <c r="I1" s="745"/>
      <c r="J1" s="745"/>
      <c r="K1" s="745"/>
      <c r="L1" s="745"/>
      <c r="M1" s="745"/>
      <c r="N1" s="745"/>
    </row>
    <row r="2" spans="1:14">
      <c r="A2" s="65" t="s">
        <v>252</v>
      </c>
      <c r="B2" s="687"/>
      <c r="C2" s="687"/>
      <c r="D2" s="381"/>
      <c r="E2" s="381"/>
      <c r="F2" s="381"/>
      <c r="G2" s="381"/>
      <c r="H2" s="381"/>
      <c r="I2" s="381"/>
      <c r="J2" s="381"/>
      <c r="K2" s="381"/>
      <c r="L2" s="381"/>
      <c r="M2" s="381"/>
      <c r="N2" s="381"/>
    </row>
    <row r="3" spans="1:14" ht="25.25">
      <c r="A3" s="528" t="s">
        <v>1112</v>
      </c>
      <c r="B3" s="381"/>
      <c r="C3" s="687"/>
      <c r="D3" s="381"/>
      <c r="E3" s="381"/>
      <c r="F3" s="29"/>
      <c r="G3" s="29"/>
      <c r="H3" s="554" t="s">
        <v>275</v>
      </c>
      <c r="I3" s="381"/>
      <c r="J3" s="381"/>
      <c r="K3" s="381"/>
      <c r="L3" s="381"/>
      <c r="M3" s="381"/>
      <c r="N3" s="381"/>
    </row>
    <row r="4" spans="1:14" ht="25.25">
      <c r="A4" s="528" t="s">
        <v>1113</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s="381" customFormat="1">
      <c r="A7" s="36" t="s">
        <v>1114</v>
      </c>
      <c r="B7" s="36" t="s">
        <v>990</v>
      </c>
      <c r="C7" s="37" t="s">
        <v>287</v>
      </c>
      <c r="D7" s="38">
        <v>0.33</v>
      </c>
      <c r="E7" s="263">
        <v>63</v>
      </c>
      <c r="F7" s="309">
        <f>SUM(G7:M7)</f>
        <v>63</v>
      </c>
      <c r="G7" s="310">
        <v>0</v>
      </c>
      <c r="H7" s="310">
        <v>0</v>
      </c>
      <c r="I7" s="310">
        <v>0</v>
      </c>
      <c r="J7" s="310">
        <v>0</v>
      </c>
      <c r="K7" s="310">
        <v>63</v>
      </c>
      <c r="L7" s="310">
        <v>0</v>
      </c>
      <c r="M7" s="311">
        <v>0</v>
      </c>
      <c r="N7" s="355" t="s">
        <v>991</v>
      </c>
    </row>
    <row r="8" spans="1:14" s="381" customFormat="1" ht="15.05" customHeight="1">
      <c r="A8" s="36" t="s">
        <v>286</v>
      </c>
      <c r="B8" s="36"/>
      <c r="C8" s="37" t="s">
        <v>287</v>
      </c>
      <c r="D8" s="39">
        <v>0</v>
      </c>
      <c r="E8" s="263">
        <v>0</v>
      </c>
      <c r="F8" s="309">
        <f>SUM(G8:M8)</f>
        <v>0</v>
      </c>
      <c r="G8" s="310">
        <v>0</v>
      </c>
      <c r="H8" s="310">
        <v>0</v>
      </c>
      <c r="I8" s="310">
        <v>0</v>
      </c>
      <c r="J8" s="310">
        <v>0</v>
      </c>
      <c r="K8" s="310">
        <v>0</v>
      </c>
      <c r="L8" s="310">
        <v>0</v>
      </c>
      <c r="M8" s="311">
        <v>0</v>
      </c>
      <c r="N8" s="355"/>
    </row>
    <row r="9" spans="1:14" s="381" customFormat="1">
      <c r="A9" s="36" t="s">
        <v>286</v>
      </c>
      <c r="B9" s="264"/>
      <c r="C9" s="37" t="s">
        <v>287</v>
      </c>
      <c r="D9" s="39"/>
      <c r="E9" s="263">
        <v>0</v>
      </c>
      <c r="F9" s="309">
        <f>SUM(G9:M9)</f>
        <v>0</v>
      </c>
      <c r="G9" s="310">
        <v>0</v>
      </c>
      <c r="H9" s="310">
        <v>0</v>
      </c>
      <c r="I9" s="310">
        <v>0</v>
      </c>
      <c r="J9" s="310">
        <v>0</v>
      </c>
      <c r="K9" s="310">
        <v>0</v>
      </c>
      <c r="L9" s="310">
        <v>0</v>
      </c>
      <c r="M9" s="311">
        <v>0</v>
      </c>
      <c r="N9" s="355"/>
    </row>
    <row r="10" spans="1:14" s="381" customFormat="1">
      <c r="A10" s="36" t="s">
        <v>286</v>
      </c>
      <c r="B10" s="265"/>
      <c r="C10" s="37" t="s">
        <v>287</v>
      </c>
      <c r="D10" s="39"/>
      <c r="E10" s="263">
        <v>0</v>
      </c>
      <c r="F10" s="309">
        <f>SUM(G10:M10)</f>
        <v>0</v>
      </c>
      <c r="G10" s="310">
        <v>0</v>
      </c>
      <c r="H10" s="310">
        <v>0</v>
      </c>
      <c r="I10" s="310">
        <v>0</v>
      </c>
      <c r="J10" s="310">
        <v>0</v>
      </c>
      <c r="K10" s="310">
        <v>0</v>
      </c>
      <c r="L10" s="310">
        <v>0</v>
      </c>
      <c r="M10" s="311">
        <v>0</v>
      </c>
      <c r="N10" s="355"/>
    </row>
    <row r="11" spans="1:14" s="381" customFormat="1">
      <c r="A11" s="40" t="s">
        <v>288</v>
      </c>
      <c r="B11" s="265"/>
      <c r="C11" s="266"/>
      <c r="D11" s="41">
        <f t="shared" ref="D11:M11" si="0">SUM(D7:D10)</f>
        <v>0.33</v>
      </c>
      <c r="E11" s="42">
        <f>SUM(E7:E10)</f>
        <v>63</v>
      </c>
      <c r="F11" s="43">
        <f t="shared" si="0"/>
        <v>63</v>
      </c>
      <c r="G11" s="43">
        <f t="shared" si="0"/>
        <v>0</v>
      </c>
      <c r="H11" s="43">
        <f t="shared" si="0"/>
        <v>0</v>
      </c>
      <c r="I11" s="43">
        <f t="shared" si="0"/>
        <v>0</v>
      </c>
      <c r="J11" s="43">
        <f t="shared" si="0"/>
        <v>0</v>
      </c>
      <c r="K11" s="43">
        <f t="shared" si="0"/>
        <v>63</v>
      </c>
      <c r="L11" s="43">
        <f t="shared" si="0"/>
        <v>0</v>
      </c>
      <c r="M11" s="43">
        <f t="shared" si="0"/>
        <v>0</v>
      </c>
      <c r="N11" s="254"/>
    </row>
    <row r="12" spans="1:14" s="381" customFormat="1">
      <c r="A12" s="127" t="s">
        <v>289</v>
      </c>
      <c r="B12" s="128"/>
      <c r="C12" s="129"/>
      <c r="D12" s="128"/>
      <c r="E12" s="128"/>
      <c r="F12" s="89"/>
      <c r="G12" s="89"/>
      <c r="H12" s="89"/>
      <c r="I12" s="89"/>
      <c r="J12" s="89"/>
      <c r="K12" s="89"/>
      <c r="L12" s="89"/>
      <c r="M12" s="89"/>
      <c r="N12" s="89"/>
    </row>
    <row r="13" spans="1:14" s="381" customFormat="1" ht="96.7" customHeight="1">
      <c r="A13" s="264" t="s">
        <v>1115</v>
      </c>
      <c r="B13" s="264" t="s">
        <v>1116</v>
      </c>
      <c r="C13" s="44">
        <v>253</v>
      </c>
      <c r="D13" s="45"/>
      <c r="E13" s="263">
        <v>2621</v>
      </c>
      <c r="F13" s="309">
        <f>SUM(G13:M13)</f>
        <v>2700</v>
      </c>
      <c r="G13" s="310">
        <v>0</v>
      </c>
      <c r="H13" s="310">
        <v>0</v>
      </c>
      <c r="I13" s="310">
        <v>0</v>
      </c>
      <c r="J13" s="310">
        <v>0</v>
      </c>
      <c r="K13" s="310">
        <v>2700</v>
      </c>
      <c r="L13" s="310">
        <v>0</v>
      </c>
      <c r="M13" s="311">
        <v>0</v>
      </c>
      <c r="N13" s="93" t="s">
        <v>1117</v>
      </c>
    </row>
    <row r="14" spans="1:14" s="381" customFormat="1" ht="29.7">
      <c r="A14" s="264" t="s">
        <v>1118</v>
      </c>
      <c r="B14" s="264" t="s">
        <v>997</v>
      </c>
      <c r="C14" s="44">
        <v>253</v>
      </c>
      <c r="D14" s="45"/>
      <c r="E14" s="263">
        <v>0</v>
      </c>
      <c r="F14" s="309">
        <f>SUM(G14:M14)</f>
        <v>0</v>
      </c>
      <c r="G14" s="310">
        <v>0</v>
      </c>
      <c r="H14" s="310">
        <v>0</v>
      </c>
      <c r="I14" s="310">
        <v>0</v>
      </c>
      <c r="J14" s="310">
        <v>0</v>
      </c>
      <c r="K14" s="310">
        <v>0</v>
      </c>
      <c r="L14" s="310">
        <v>0</v>
      </c>
      <c r="M14" s="311">
        <v>0</v>
      </c>
      <c r="N14" s="93" t="s">
        <v>1119</v>
      </c>
    </row>
    <row r="15" spans="1:14" s="381" customFormat="1">
      <c r="A15" s="264" t="s">
        <v>1120</v>
      </c>
      <c r="B15" s="264" t="s">
        <v>1121</v>
      </c>
      <c r="C15" s="44">
        <v>253</v>
      </c>
      <c r="D15" s="267"/>
      <c r="E15" s="263">
        <v>1000</v>
      </c>
      <c r="F15" s="309">
        <f>SUM(G15:M15)</f>
        <v>0</v>
      </c>
      <c r="G15" s="310">
        <v>0</v>
      </c>
      <c r="H15" s="310">
        <v>0</v>
      </c>
      <c r="I15" s="310">
        <v>0</v>
      </c>
      <c r="J15" s="310">
        <v>0</v>
      </c>
      <c r="K15" s="310">
        <v>0</v>
      </c>
      <c r="L15" s="310">
        <v>0</v>
      </c>
      <c r="M15" s="311">
        <v>0</v>
      </c>
      <c r="N15" s="327"/>
    </row>
    <row r="16" spans="1:14" s="381" customFormat="1">
      <c r="A16" s="40" t="s">
        <v>294</v>
      </c>
      <c r="B16" s="265"/>
      <c r="C16" s="266"/>
      <c r="D16" s="267">
        <f t="shared" ref="D16:M16" si="1">SUM(D13:D15)</f>
        <v>0</v>
      </c>
      <c r="E16" s="42">
        <f t="shared" si="1"/>
        <v>3621</v>
      </c>
      <c r="F16" s="43">
        <f t="shared" si="1"/>
        <v>2700</v>
      </c>
      <c r="G16" s="43">
        <f t="shared" si="1"/>
        <v>0</v>
      </c>
      <c r="H16" s="43">
        <f t="shared" si="1"/>
        <v>0</v>
      </c>
      <c r="I16" s="43">
        <f t="shared" si="1"/>
        <v>0</v>
      </c>
      <c r="J16" s="43">
        <f t="shared" si="1"/>
        <v>0</v>
      </c>
      <c r="K16" s="43">
        <f t="shared" si="1"/>
        <v>2700</v>
      </c>
      <c r="L16" s="43">
        <f t="shared" si="1"/>
        <v>0</v>
      </c>
      <c r="M16" s="43">
        <f t="shared" si="1"/>
        <v>0</v>
      </c>
      <c r="N16" s="355"/>
    </row>
    <row r="17" spans="1:14" s="358" customFormat="1">
      <c r="A17" s="127" t="s">
        <v>356</v>
      </c>
      <c r="B17" s="128"/>
      <c r="C17" s="129"/>
      <c r="D17" s="128"/>
      <c r="E17" s="128"/>
      <c r="F17" s="89"/>
      <c r="G17" s="89"/>
      <c r="H17" s="89"/>
      <c r="I17" s="89"/>
      <c r="J17" s="89"/>
      <c r="K17" s="89"/>
      <c r="L17" s="89"/>
      <c r="M17" s="89"/>
      <c r="N17" s="89"/>
    </row>
    <row r="18" spans="1:14" s="381" customFormat="1" ht="59.4">
      <c r="A18" s="264" t="s">
        <v>296</v>
      </c>
      <c r="B18" s="36"/>
      <c r="C18" s="37" t="s">
        <v>297</v>
      </c>
      <c r="D18" s="38">
        <v>0</v>
      </c>
      <c r="E18" s="263">
        <v>5</v>
      </c>
      <c r="F18" s="309">
        <f t="shared" ref="F18:F29" si="2">SUM(G18:M18)</f>
        <v>5</v>
      </c>
      <c r="G18" s="310">
        <v>0</v>
      </c>
      <c r="H18" s="310">
        <v>0</v>
      </c>
      <c r="I18" s="310">
        <v>0</v>
      </c>
      <c r="J18" s="310">
        <v>0</v>
      </c>
      <c r="K18" s="310">
        <v>5</v>
      </c>
      <c r="L18" s="310">
        <v>0</v>
      </c>
      <c r="M18" s="311">
        <v>0</v>
      </c>
      <c r="N18" s="93" t="s">
        <v>1122</v>
      </c>
    </row>
    <row r="19" spans="1:14" s="381" customFormat="1">
      <c r="A19" s="264" t="s">
        <v>298</v>
      </c>
      <c r="B19" s="36"/>
      <c r="C19" s="44" t="s">
        <v>299</v>
      </c>
      <c r="D19" s="45"/>
      <c r="E19" s="263">
        <v>0</v>
      </c>
      <c r="F19" s="309">
        <f t="shared" si="2"/>
        <v>0</v>
      </c>
      <c r="G19" s="310">
        <v>0</v>
      </c>
      <c r="H19" s="310">
        <v>0</v>
      </c>
      <c r="I19" s="310">
        <v>0</v>
      </c>
      <c r="J19" s="310">
        <v>0</v>
      </c>
      <c r="K19" s="310">
        <v>0</v>
      </c>
      <c r="L19" s="310">
        <v>0</v>
      </c>
      <c r="M19" s="311">
        <v>0</v>
      </c>
      <c r="N19" s="355"/>
    </row>
    <row r="20" spans="1:14" s="381" customFormat="1">
      <c r="A20" s="264" t="s">
        <v>300</v>
      </c>
      <c r="B20" s="36"/>
      <c r="C20" s="44" t="s">
        <v>301</v>
      </c>
      <c r="D20" s="45"/>
      <c r="E20" s="263">
        <v>0</v>
      </c>
      <c r="F20" s="309">
        <f t="shared" si="2"/>
        <v>0</v>
      </c>
      <c r="G20" s="310">
        <v>0</v>
      </c>
      <c r="H20" s="310">
        <v>0</v>
      </c>
      <c r="I20" s="310">
        <v>0</v>
      </c>
      <c r="J20" s="310">
        <v>0</v>
      </c>
      <c r="K20" s="310">
        <v>0</v>
      </c>
      <c r="L20" s="310">
        <v>0</v>
      </c>
      <c r="M20" s="311">
        <v>0</v>
      </c>
      <c r="N20" s="355"/>
    </row>
    <row r="21" spans="1:14" s="381" customFormat="1">
      <c r="A21" s="264" t="s">
        <v>302</v>
      </c>
      <c r="B21" s="36"/>
      <c r="C21" s="44" t="s">
        <v>303</v>
      </c>
      <c r="D21" s="45"/>
      <c r="E21" s="263">
        <v>0</v>
      </c>
      <c r="F21" s="309">
        <f t="shared" si="2"/>
        <v>0</v>
      </c>
      <c r="G21" s="310">
        <v>0</v>
      </c>
      <c r="H21" s="310">
        <v>0</v>
      </c>
      <c r="I21" s="310">
        <v>0</v>
      </c>
      <c r="J21" s="310">
        <v>0</v>
      </c>
      <c r="K21" s="310">
        <v>0</v>
      </c>
      <c r="L21" s="310">
        <v>0</v>
      </c>
      <c r="M21" s="311">
        <v>0</v>
      </c>
      <c r="N21" s="355"/>
    </row>
    <row r="22" spans="1:14" s="381" customFormat="1">
      <c r="A22" s="264" t="s">
        <v>304</v>
      </c>
      <c r="B22" s="36"/>
      <c r="C22" s="44">
        <v>251</v>
      </c>
      <c r="D22" s="45"/>
      <c r="E22" s="263">
        <v>0</v>
      </c>
      <c r="F22" s="309">
        <f t="shared" si="2"/>
        <v>0</v>
      </c>
      <c r="G22" s="310">
        <v>0</v>
      </c>
      <c r="H22" s="310">
        <v>0</v>
      </c>
      <c r="I22" s="310">
        <v>0</v>
      </c>
      <c r="J22" s="310">
        <v>0</v>
      </c>
      <c r="K22" s="310">
        <v>0</v>
      </c>
      <c r="L22" s="310">
        <v>0</v>
      </c>
      <c r="M22" s="311">
        <v>0</v>
      </c>
      <c r="N22" s="355"/>
    </row>
    <row r="23" spans="1:14" s="381" customFormat="1" ht="59.4">
      <c r="A23" s="418" t="s">
        <v>1123</v>
      </c>
      <c r="B23" s="36"/>
      <c r="C23" s="44">
        <v>252</v>
      </c>
      <c r="D23" s="45"/>
      <c r="E23" s="263">
        <v>110</v>
      </c>
      <c r="F23" s="309">
        <f t="shared" si="2"/>
        <v>110</v>
      </c>
      <c r="G23" s="310">
        <v>0</v>
      </c>
      <c r="H23" s="310">
        <v>0</v>
      </c>
      <c r="I23" s="310">
        <v>0</v>
      </c>
      <c r="J23" s="310">
        <v>0</v>
      </c>
      <c r="K23" s="310">
        <v>110</v>
      </c>
      <c r="L23" s="310">
        <v>0</v>
      </c>
      <c r="M23" s="311">
        <v>0</v>
      </c>
      <c r="N23" s="93" t="s">
        <v>1124</v>
      </c>
    </row>
    <row r="24" spans="1:14" s="381" customFormat="1">
      <c r="A24" s="264" t="s">
        <v>314</v>
      </c>
      <c r="B24" s="36"/>
      <c r="C24" s="44">
        <v>252</v>
      </c>
      <c r="D24" s="45"/>
      <c r="E24" s="263">
        <v>0</v>
      </c>
      <c r="F24" s="309">
        <f t="shared" si="2"/>
        <v>0</v>
      </c>
      <c r="G24" s="310">
        <v>0</v>
      </c>
      <c r="H24" s="310">
        <v>0</v>
      </c>
      <c r="I24" s="310">
        <v>0</v>
      </c>
      <c r="J24" s="310">
        <v>0</v>
      </c>
      <c r="K24" s="310">
        <v>0</v>
      </c>
      <c r="L24" s="310">
        <v>0</v>
      </c>
      <c r="M24" s="311">
        <v>0</v>
      </c>
      <c r="N24" s="100"/>
    </row>
    <row r="25" spans="1:14" s="381" customFormat="1">
      <c r="A25" s="264" t="s">
        <v>315</v>
      </c>
      <c r="B25" s="36"/>
      <c r="C25" s="44">
        <v>253</v>
      </c>
      <c r="D25" s="264"/>
      <c r="E25" s="263">
        <v>0</v>
      </c>
      <c r="F25" s="309">
        <f t="shared" si="2"/>
        <v>0</v>
      </c>
      <c r="G25" s="310">
        <v>0</v>
      </c>
      <c r="H25" s="310">
        <v>0</v>
      </c>
      <c r="I25" s="310">
        <v>0</v>
      </c>
      <c r="J25" s="310">
        <v>0</v>
      </c>
      <c r="K25" s="310">
        <v>0</v>
      </c>
      <c r="L25" s="310">
        <v>0</v>
      </c>
      <c r="M25" s="311">
        <v>0</v>
      </c>
      <c r="N25" s="355"/>
    </row>
    <row r="26" spans="1:14" s="381" customFormat="1">
      <c r="A26" s="264" t="s">
        <v>316</v>
      </c>
      <c r="B26" s="36"/>
      <c r="C26" s="44">
        <v>255</v>
      </c>
      <c r="D26" s="264"/>
      <c r="E26" s="263">
        <v>0</v>
      </c>
      <c r="F26" s="309">
        <f t="shared" si="2"/>
        <v>0</v>
      </c>
      <c r="G26" s="310">
        <v>0</v>
      </c>
      <c r="H26" s="310">
        <v>0</v>
      </c>
      <c r="I26" s="310">
        <v>0</v>
      </c>
      <c r="J26" s="310">
        <v>0</v>
      </c>
      <c r="K26" s="310">
        <v>0</v>
      </c>
      <c r="L26" s="310">
        <v>0</v>
      </c>
      <c r="M26" s="311">
        <v>0</v>
      </c>
      <c r="N26" s="355"/>
    </row>
    <row r="27" spans="1:14" s="381" customFormat="1">
      <c r="A27" s="264" t="s">
        <v>317</v>
      </c>
      <c r="B27" s="36"/>
      <c r="C27" s="44">
        <v>256</v>
      </c>
      <c r="D27" s="264"/>
      <c r="E27" s="263">
        <v>0</v>
      </c>
      <c r="F27" s="309">
        <f t="shared" si="2"/>
        <v>0</v>
      </c>
      <c r="G27" s="310">
        <v>0</v>
      </c>
      <c r="H27" s="310">
        <v>0</v>
      </c>
      <c r="I27" s="310">
        <v>0</v>
      </c>
      <c r="J27" s="310">
        <v>0</v>
      </c>
      <c r="K27" s="310">
        <v>0</v>
      </c>
      <c r="L27" s="310">
        <v>0</v>
      </c>
      <c r="M27" s="311">
        <v>0</v>
      </c>
      <c r="N27" s="355"/>
    </row>
    <row r="28" spans="1:14" s="381" customFormat="1">
      <c r="A28" s="264" t="s">
        <v>318</v>
      </c>
      <c r="B28" s="36"/>
      <c r="C28" s="44">
        <v>257</v>
      </c>
      <c r="D28" s="264"/>
      <c r="E28" s="263">
        <v>0</v>
      </c>
      <c r="F28" s="309">
        <f t="shared" si="2"/>
        <v>0</v>
      </c>
      <c r="G28" s="310">
        <v>0</v>
      </c>
      <c r="H28" s="310">
        <v>0</v>
      </c>
      <c r="I28" s="310">
        <v>0</v>
      </c>
      <c r="J28" s="310">
        <v>0</v>
      </c>
      <c r="K28" s="310">
        <v>0</v>
      </c>
      <c r="L28" s="310">
        <v>0</v>
      </c>
      <c r="M28" s="311">
        <v>0</v>
      </c>
      <c r="N28" s="355"/>
    </row>
    <row r="29" spans="1:14" s="381" customFormat="1">
      <c r="A29" s="264" t="s">
        <v>319</v>
      </c>
      <c r="B29" s="36"/>
      <c r="C29" s="44" t="s">
        <v>320</v>
      </c>
      <c r="D29" s="264"/>
      <c r="E29" s="263">
        <v>1</v>
      </c>
      <c r="F29" s="309">
        <f t="shared" si="2"/>
        <v>1</v>
      </c>
      <c r="G29" s="310">
        <v>0</v>
      </c>
      <c r="H29" s="310">
        <v>0</v>
      </c>
      <c r="I29" s="310">
        <v>0</v>
      </c>
      <c r="J29" s="310">
        <v>0</v>
      </c>
      <c r="K29" s="310">
        <v>1</v>
      </c>
      <c r="L29" s="310">
        <v>0</v>
      </c>
      <c r="M29" s="311">
        <v>0</v>
      </c>
      <c r="N29" s="100" t="s">
        <v>1125</v>
      </c>
    </row>
    <row r="30" spans="1:14" s="381" customFormat="1">
      <c r="A30" s="265" t="s">
        <v>321</v>
      </c>
      <c r="B30" s="36"/>
      <c r="C30" s="266" t="s">
        <v>322</v>
      </c>
      <c r="D30" s="265"/>
      <c r="E30" s="263">
        <v>0</v>
      </c>
      <c r="F30" s="309">
        <f>SUM(G30:M30)</f>
        <v>0</v>
      </c>
      <c r="G30" s="310">
        <v>0</v>
      </c>
      <c r="H30" s="310">
        <v>0</v>
      </c>
      <c r="I30" s="310">
        <v>0</v>
      </c>
      <c r="J30" s="310">
        <v>0</v>
      </c>
      <c r="K30" s="310">
        <v>0</v>
      </c>
      <c r="L30" s="310">
        <v>0</v>
      </c>
      <c r="M30" s="311">
        <v>0</v>
      </c>
      <c r="N30" s="355"/>
    </row>
    <row r="31" spans="1:14" s="381" customFormat="1" ht="44.55">
      <c r="A31" s="632" t="s">
        <v>1022</v>
      </c>
      <c r="B31" s="672"/>
      <c r="C31" s="664" t="s">
        <v>324</v>
      </c>
      <c r="D31" s="632"/>
      <c r="E31" s="318">
        <v>-1919</v>
      </c>
      <c r="F31" s="309">
        <f>SUM(G31:M31)</f>
        <v>-355</v>
      </c>
      <c r="G31" s="165">
        <v>0</v>
      </c>
      <c r="H31" s="165">
        <v>0</v>
      </c>
      <c r="I31" s="165">
        <v>0</v>
      </c>
      <c r="J31" s="165">
        <v>0</v>
      </c>
      <c r="K31" s="165">
        <f>-1100+745</f>
        <v>-355</v>
      </c>
      <c r="L31" s="165">
        <v>0</v>
      </c>
      <c r="M31" s="166">
        <v>0</v>
      </c>
      <c r="N31" s="633" t="s">
        <v>1368</v>
      </c>
    </row>
    <row r="32" spans="1:14" s="381" customFormat="1">
      <c r="A32" s="40" t="s">
        <v>326</v>
      </c>
      <c r="B32" s="265"/>
      <c r="C32" s="266"/>
      <c r="D32" s="267"/>
      <c r="E32" s="42">
        <f t="shared" ref="E32:M32" si="3">SUM(E18:E31)</f>
        <v>-1803</v>
      </c>
      <c r="F32" s="43">
        <f t="shared" si="3"/>
        <v>-239</v>
      </c>
      <c r="G32" s="43">
        <f t="shared" si="3"/>
        <v>0</v>
      </c>
      <c r="H32" s="43">
        <f t="shared" si="3"/>
        <v>0</v>
      </c>
      <c r="I32" s="43">
        <f t="shared" si="3"/>
        <v>0</v>
      </c>
      <c r="J32" s="43">
        <f t="shared" si="3"/>
        <v>0</v>
      </c>
      <c r="K32" s="43">
        <f t="shared" si="3"/>
        <v>-239</v>
      </c>
      <c r="L32" s="43">
        <f t="shared" si="3"/>
        <v>0</v>
      </c>
      <c r="M32" s="43">
        <f t="shared" si="3"/>
        <v>0</v>
      </c>
      <c r="N32" s="355"/>
    </row>
    <row r="33" spans="1:14" s="381" customFormat="1">
      <c r="A33" s="40" t="s">
        <v>327</v>
      </c>
      <c r="B33" s="51"/>
      <c r="C33" s="149"/>
      <c r="D33" s="267"/>
      <c r="E33" s="241">
        <v>0</v>
      </c>
      <c r="F33" s="240">
        <v>0</v>
      </c>
      <c r="G33" s="240"/>
      <c r="H33" s="240">
        <v>0</v>
      </c>
      <c r="I33" s="240"/>
      <c r="J33" s="240"/>
      <c r="K33" s="240">
        <v>0</v>
      </c>
      <c r="L33" s="240"/>
      <c r="M33" s="240"/>
      <c r="N33" s="355"/>
    </row>
    <row r="34" spans="1:14" s="381" customFormat="1">
      <c r="A34" s="40" t="s">
        <v>328</v>
      </c>
      <c r="B34" s="46"/>
      <c r="C34" s="47"/>
      <c r="D34" s="48">
        <f>D32+D16+D11</f>
        <v>0.33</v>
      </c>
      <c r="E34" s="17">
        <f t="shared" ref="E34:M34" si="4">E32+E16+E11-E33</f>
        <v>1881</v>
      </c>
      <c r="F34" s="17">
        <f t="shared" si="4"/>
        <v>2524</v>
      </c>
      <c r="G34" s="17">
        <f t="shared" si="4"/>
        <v>0</v>
      </c>
      <c r="H34" s="17">
        <f t="shared" si="4"/>
        <v>0</v>
      </c>
      <c r="I34" s="17">
        <f t="shared" si="4"/>
        <v>0</v>
      </c>
      <c r="J34" s="17">
        <f t="shared" si="4"/>
        <v>0</v>
      </c>
      <c r="K34" s="17">
        <f t="shared" si="4"/>
        <v>2524</v>
      </c>
      <c r="L34" s="17">
        <f t="shared" si="4"/>
        <v>0</v>
      </c>
      <c r="M34" s="17">
        <f t="shared" si="4"/>
        <v>0</v>
      </c>
    </row>
    <row r="35" spans="1:14" s="381" customFormat="1">
      <c r="B35" s="269" t="s">
        <v>391</v>
      </c>
      <c r="C35" s="179"/>
      <c r="D35" s="180"/>
      <c r="E35" s="269">
        <f>E34-C38</f>
        <v>781</v>
      </c>
      <c r="F35" s="269">
        <f>F34-B38</f>
        <v>1779</v>
      </c>
      <c r="N35" s="571"/>
    </row>
    <row r="36" spans="1:14" s="381" customFormat="1">
      <c r="C36" s="687"/>
    </row>
    <row r="37" spans="1:14" s="381" customFormat="1">
      <c r="A37" s="56" t="s">
        <v>392</v>
      </c>
      <c r="B37" s="389" t="s">
        <v>393</v>
      </c>
      <c r="C37" s="31" t="s">
        <v>359</v>
      </c>
      <c r="D37" s="31"/>
      <c r="E37" s="456"/>
      <c r="F37" s="181"/>
    </row>
    <row r="38" spans="1:14" s="381" customFormat="1">
      <c r="A38" s="36" t="s">
        <v>394</v>
      </c>
      <c r="B38" s="58">
        <f>1100-355</f>
        <v>745</v>
      </c>
      <c r="C38" s="58">
        <v>1100</v>
      </c>
      <c r="D38" s="31" t="s">
        <v>1367</v>
      </c>
      <c r="E38" s="456"/>
      <c r="F38" s="31"/>
      <c r="G38" s="161"/>
      <c r="H38" s="161"/>
      <c r="I38" s="161"/>
      <c r="J38" s="161"/>
      <c r="K38" s="161"/>
      <c r="L38" s="161"/>
      <c r="M38" s="161"/>
      <c r="N38" s="161"/>
    </row>
    <row r="39" spans="1:14" s="381" customFormat="1">
      <c r="A39" s="264" t="s">
        <v>396</v>
      </c>
      <c r="B39" s="59">
        <v>0</v>
      </c>
      <c r="C39" s="59">
        <v>0</v>
      </c>
      <c r="D39" s="31"/>
      <c r="E39" s="31"/>
      <c r="F39" s="31"/>
    </row>
    <row r="40" spans="1:14" s="381" customFormat="1">
      <c r="A40" s="60" t="s">
        <v>784</v>
      </c>
      <c r="B40" s="61">
        <f>B38-B39</f>
        <v>745</v>
      </c>
      <c r="C40" s="61">
        <f>C38-C39</f>
        <v>1100</v>
      </c>
      <c r="D40" s="31"/>
      <c r="E40" s="31"/>
      <c r="F40" s="31"/>
    </row>
    <row r="41" spans="1:14" s="381" customFormat="1" ht="15.05" customHeight="1">
      <c r="A41" s="874" t="s">
        <v>1126</v>
      </c>
      <c r="B41" s="875"/>
      <c r="C41" s="875"/>
      <c r="D41" s="31"/>
      <c r="E41" s="31"/>
      <c r="F41" s="31"/>
      <c r="G41" s="31"/>
      <c r="H41" s="31"/>
      <c r="I41" s="31"/>
      <c r="J41" s="31"/>
      <c r="K41" s="31"/>
      <c r="L41" s="31"/>
      <c r="M41" s="31"/>
      <c r="N41" s="562"/>
    </row>
    <row r="42" spans="1:14" s="381" customFormat="1" ht="15.6" thickBot="1">
      <c r="A42" s="31"/>
      <c r="B42" s="31"/>
      <c r="C42" s="32"/>
      <c r="D42" s="31"/>
      <c r="E42" s="31"/>
      <c r="F42" s="31"/>
      <c r="G42" s="31"/>
      <c r="H42" s="31"/>
      <c r="I42" s="31"/>
      <c r="J42" s="31"/>
      <c r="K42" s="31"/>
      <c r="L42" s="31"/>
      <c r="M42" s="31"/>
      <c r="N42" s="562"/>
    </row>
    <row r="43" spans="1:14" s="381" customFormat="1" ht="15.6">
      <c r="A43" s="764" t="s">
        <v>330</v>
      </c>
      <c r="B43" s="765"/>
      <c r="C43" s="765"/>
      <c r="D43" s="765"/>
      <c r="E43" s="765"/>
      <c r="F43" s="765"/>
      <c r="G43" s="581"/>
      <c r="H43" s="31"/>
      <c r="I43" s="31"/>
      <c r="J43" s="31"/>
      <c r="K43" s="31"/>
      <c r="L43" s="31"/>
      <c r="M43" s="31"/>
      <c r="N43" s="562"/>
    </row>
    <row r="44" spans="1:14" s="381" customFormat="1" ht="15.6">
      <c r="A44" s="738"/>
      <c r="B44" s="739"/>
      <c r="C44" s="739"/>
      <c r="D44" s="739"/>
      <c r="E44" s="739"/>
      <c r="F44" s="739"/>
      <c r="G44" s="582"/>
      <c r="H44" s="31"/>
      <c r="I44" s="31"/>
      <c r="J44" s="31"/>
      <c r="K44" s="31"/>
      <c r="L44" s="31"/>
      <c r="M44" s="31"/>
      <c r="N44" s="562"/>
    </row>
    <row r="45" spans="1:14" s="381" customFormat="1">
      <c r="A45" s="740" t="s">
        <v>331</v>
      </c>
      <c r="B45" s="741"/>
      <c r="C45" s="583"/>
      <c r="D45" s="583"/>
      <c r="E45" s="583"/>
      <c r="F45" s="583"/>
      <c r="G45" s="582"/>
      <c r="H45" s="31"/>
      <c r="I45" s="31"/>
      <c r="J45" s="31"/>
      <c r="K45" s="31"/>
      <c r="L45" s="31"/>
      <c r="M45" s="31"/>
      <c r="N45" s="562"/>
    </row>
    <row r="46" spans="1:14" s="381" customFormat="1">
      <c r="A46" s="584" t="s">
        <v>1127</v>
      </c>
      <c r="B46" s="589">
        <f>E34</f>
        <v>1881</v>
      </c>
      <c r="C46" s="586"/>
      <c r="D46" s="587"/>
      <c r="E46" s="587"/>
      <c r="F46" s="587"/>
      <c r="G46" s="582"/>
      <c r="H46" s="31"/>
      <c r="I46" s="31"/>
      <c r="J46" s="31"/>
      <c r="K46" s="31"/>
      <c r="L46" s="31"/>
      <c r="M46" s="31"/>
      <c r="N46" s="562"/>
    </row>
    <row r="47" spans="1:14" s="381" customFormat="1">
      <c r="A47" s="588" t="s">
        <v>362</v>
      </c>
      <c r="B47" s="589">
        <f>F34</f>
        <v>2524</v>
      </c>
      <c r="C47" s="586"/>
      <c r="D47" s="587"/>
      <c r="E47" s="587"/>
      <c r="F47" s="587"/>
      <c r="G47" s="582"/>
      <c r="H47" s="31"/>
      <c r="I47" s="31"/>
      <c r="J47" s="31"/>
      <c r="K47" s="31"/>
      <c r="L47" s="31"/>
      <c r="M47" s="31"/>
      <c r="N47" s="562"/>
    </row>
    <row r="48" spans="1:14" s="381" customFormat="1">
      <c r="A48" s="590" t="s">
        <v>334</v>
      </c>
      <c r="B48" s="591">
        <f>B47-B46</f>
        <v>643</v>
      </c>
      <c r="C48" s="586"/>
      <c r="D48" s="587"/>
      <c r="E48" s="587"/>
      <c r="F48" s="587"/>
      <c r="G48" s="582"/>
      <c r="H48" s="31"/>
      <c r="I48" s="31"/>
      <c r="J48" s="31"/>
      <c r="K48" s="31"/>
      <c r="L48" s="31"/>
      <c r="M48" s="31"/>
      <c r="N48" s="562"/>
    </row>
    <row r="49" spans="1:14" s="381" customFormat="1">
      <c r="A49" s="590" t="s">
        <v>335</v>
      </c>
      <c r="B49" s="592">
        <f>B48/B46</f>
        <v>0.341839447102605</v>
      </c>
      <c r="C49" s="586"/>
      <c r="D49" s="587"/>
      <c r="E49" s="587"/>
      <c r="F49" s="587"/>
      <c r="G49" s="582"/>
      <c r="H49" s="31"/>
      <c r="I49" s="31"/>
      <c r="J49" s="31"/>
      <c r="K49" s="31"/>
      <c r="L49" s="31"/>
      <c r="M49" s="31"/>
      <c r="N49" s="562"/>
    </row>
    <row r="50" spans="1:14" s="381" customFormat="1">
      <c r="A50" s="593"/>
      <c r="B50" s="587"/>
      <c r="C50" s="686"/>
      <c r="D50" s="587"/>
      <c r="E50" s="587"/>
      <c r="F50" s="587"/>
      <c r="G50" s="582"/>
      <c r="H50" s="31"/>
      <c r="I50" s="31"/>
      <c r="J50" s="31"/>
      <c r="K50" s="31"/>
      <c r="L50" s="31"/>
      <c r="M50" s="31"/>
      <c r="N50" s="562"/>
    </row>
    <row r="51" spans="1:14" s="381" customFormat="1">
      <c r="A51" s="731" t="s">
        <v>336</v>
      </c>
      <c r="B51" s="732"/>
      <c r="C51" s="732"/>
      <c r="D51" s="732"/>
      <c r="E51" s="732"/>
      <c r="F51" s="732"/>
      <c r="G51" s="582"/>
      <c r="H51" s="31"/>
      <c r="I51" s="31"/>
      <c r="J51" s="31"/>
      <c r="K51" s="31"/>
      <c r="L51" s="31"/>
      <c r="M51" s="31"/>
      <c r="N51" s="562"/>
    </row>
    <row r="52" spans="1:14" s="381" customFormat="1" ht="55.7" customHeight="1">
      <c r="A52" s="742" t="s">
        <v>1128</v>
      </c>
      <c r="B52" s="743"/>
      <c r="C52" s="743"/>
      <c r="D52" s="743"/>
      <c r="E52" s="743"/>
      <c r="F52" s="744"/>
      <c r="G52" s="582"/>
      <c r="H52" s="31"/>
      <c r="I52" s="31"/>
      <c r="J52" s="31"/>
      <c r="K52" s="31"/>
      <c r="L52" s="31"/>
      <c r="M52" s="31"/>
      <c r="N52" s="562"/>
    </row>
    <row r="53" spans="1:14" s="381" customFormat="1">
      <c r="A53" s="594"/>
      <c r="B53" s="595"/>
      <c r="C53" s="595"/>
      <c r="D53" s="595"/>
      <c r="E53" s="595"/>
      <c r="F53" s="595"/>
      <c r="G53" s="582"/>
      <c r="H53" s="31"/>
      <c r="I53" s="31"/>
      <c r="J53" s="31"/>
      <c r="K53" s="31"/>
      <c r="L53" s="31"/>
      <c r="M53" s="31"/>
      <c r="N53" s="562"/>
    </row>
    <row r="54" spans="1:14" s="381" customFormat="1">
      <c r="A54" s="596" t="s">
        <v>337</v>
      </c>
      <c r="B54" s="587"/>
      <c r="C54" s="686"/>
      <c r="D54" s="587"/>
      <c r="E54" s="587"/>
      <c r="F54" s="587"/>
      <c r="G54" s="582"/>
      <c r="H54" s="31"/>
      <c r="I54" s="31"/>
      <c r="J54" s="31"/>
      <c r="K54" s="31"/>
      <c r="L54" s="31"/>
      <c r="M54" s="31"/>
      <c r="N54" s="562"/>
    </row>
    <row r="55" spans="1:14" s="381" customFormat="1" ht="267.25" customHeight="1">
      <c r="A55" s="742" t="s">
        <v>1129</v>
      </c>
      <c r="B55" s="743"/>
      <c r="C55" s="743"/>
      <c r="D55" s="743"/>
      <c r="E55" s="743"/>
      <c r="F55" s="744"/>
      <c r="G55" s="582"/>
      <c r="H55" s="31"/>
      <c r="I55" s="31"/>
      <c r="J55" s="31"/>
      <c r="K55" s="31"/>
      <c r="L55" s="31"/>
      <c r="M55" s="31"/>
      <c r="N55" s="562"/>
    </row>
    <row r="56" spans="1:14" s="381" customFormat="1">
      <c r="A56" s="593"/>
      <c r="B56" s="587"/>
      <c r="C56" s="686"/>
      <c r="D56" s="587"/>
      <c r="E56" s="587"/>
      <c r="F56" s="587"/>
      <c r="G56" s="582"/>
      <c r="H56" s="31"/>
      <c r="I56" s="31"/>
      <c r="J56" s="31"/>
      <c r="K56" s="31"/>
      <c r="L56" s="31"/>
      <c r="M56" s="31"/>
      <c r="N56" s="562"/>
    </row>
    <row r="57" spans="1:14" s="381" customFormat="1">
      <c r="A57" s="731" t="s">
        <v>365</v>
      </c>
      <c r="B57" s="732"/>
      <c r="C57" s="732"/>
      <c r="D57" s="732"/>
      <c r="E57" s="732"/>
      <c r="F57" s="732"/>
      <c r="G57" s="582"/>
      <c r="H57" s="31"/>
      <c r="I57" s="31"/>
      <c r="J57" s="31"/>
      <c r="K57" s="31"/>
      <c r="L57" s="31"/>
      <c r="M57" s="31"/>
      <c r="N57" s="562"/>
    </row>
    <row r="58" spans="1:14" s="381" customFormat="1">
      <c r="A58" s="733" t="s">
        <v>339</v>
      </c>
      <c r="B58" s="734"/>
      <c r="C58" s="734"/>
      <c r="D58" s="734"/>
      <c r="E58" s="734"/>
      <c r="F58" s="734"/>
      <c r="G58" s="582"/>
      <c r="H58" s="31"/>
      <c r="I58" s="31"/>
      <c r="J58" s="31"/>
      <c r="K58" s="31"/>
      <c r="L58" s="31"/>
      <c r="M58" s="31"/>
      <c r="N58" s="562"/>
    </row>
    <row r="59" spans="1:14" s="381" customFormat="1" ht="340" customHeight="1">
      <c r="A59" s="742" t="s">
        <v>1130</v>
      </c>
      <c r="B59" s="736"/>
      <c r="C59" s="736"/>
      <c r="D59" s="736"/>
      <c r="E59" s="736"/>
      <c r="F59" s="737"/>
      <c r="G59" s="582"/>
      <c r="H59" s="31"/>
      <c r="I59" s="31"/>
      <c r="J59" s="31"/>
      <c r="K59" s="31"/>
      <c r="L59" s="31"/>
      <c r="M59" s="31"/>
      <c r="N59" s="562"/>
    </row>
    <row r="60" spans="1:14" s="381" customFormat="1">
      <c r="A60" s="596"/>
      <c r="B60" s="587"/>
      <c r="C60" s="686"/>
      <c r="D60" s="587"/>
      <c r="E60" s="587"/>
      <c r="F60" s="587"/>
      <c r="G60" s="582"/>
      <c r="H60" s="31"/>
      <c r="I60" s="31"/>
      <c r="J60" s="31"/>
      <c r="K60" s="31"/>
      <c r="L60" s="31"/>
      <c r="M60" s="31"/>
      <c r="N60" s="562"/>
    </row>
    <row r="61" spans="1:14" s="381" customFormat="1">
      <c r="A61" s="731" t="s">
        <v>340</v>
      </c>
      <c r="B61" s="732"/>
      <c r="C61" s="732"/>
      <c r="D61" s="732"/>
      <c r="E61" s="685"/>
      <c r="F61" s="587"/>
      <c r="G61" s="582"/>
      <c r="H61" s="31"/>
      <c r="I61" s="31"/>
      <c r="J61" s="31"/>
      <c r="K61" s="31"/>
      <c r="L61" s="31"/>
      <c r="M61" s="31"/>
      <c r="N61" s="562"/>
    </row>
    <row r="62" spans="1:14" s="381" customFormat="1" ht="223.45" customHeight="1">
      <c r="A62" s="766" t="s">
        <v>1131</v>
      </c>
      <c r="B62" s="729"/>
      <c r="C62" s="729"/>
      <c r="D62" s="729"/>
      <c r="E62" s="729"/>
      <c r="F62" s="730"/>
      <c r="G62" s="582"/>
      <c r="H62" s="31"/>
      <c r="I62" s="31"/>
      <c r="J62" s="31"/>
      <c r="K62" s="31"/>
      <c r="L62" s="31"/>
      <c r="M62" s="31"/>
      <c r="N62" s="562"/>
    </row>
    <row r="63" spans="1:14" s="381" customFormat="1">
      <c r="A63" s="593"/>
      <c r="B63" s="587"/>
      <c r="C63" s="686"/>
      <c r="D63" s="587"/>
      <c r="E63" s="587"/>
      <c r="F63" s="587"/>
      <c r="G63" s="582"/>
      <c r="H63" s="31"/>
      <c r="I63" s="31"/>
      <c r="J63" s="31"/>
      <c r="K63" s="31"/>
      <c r="L63" s="31"/>
      <c r="M63" s="31"/>
      <c r="N63" s="562"/>
    </row>
    <row r="64" spans="1:14" s="381" customFormat="1">
      <c r="A64" s="596" t="s">
        <v>341</v>
      </c>
      <c r="B64" s="587"/>
      <c r="C64" s="686"/>
      <c r="D64" s="587"/>
      <c r="E64" s="587"/>
      <c r="F64" s="587"/>
      <c r="G64" s="582"/>
      <c r="H64" s="31"/>
      <c r="I64" s="31"/>
      <c r="J64" s="31"/>
      <c r="K64" s="31"/>
      <c r="L64" s="31"/>
      <c r="M64" s="31"/>
      <c r="N64" s="562"/>
    </row>
    <row r="65" spans="1:14" s="381" customFormat="1">
      <c r="A65" s="597" t="s">
        <v>342</v>
      </c>
      <c r="B65" s="587"/>
      <c r="C65" s="686"/>
      <c r="D65" s="587"/>
      <c r="E65" s="587"/>
      <c r="F65" s="587"/>
      <c r="G65" s="582"/>
      <c r="H65" s="31"/>
      <c r="I65" s="31"/>
      <c r="J65" s="31"/>
      <c r="K65" s="31"/>
      <c r="L65" s="31"/>
      <c r="M65" s="31"/>
      <c r="N65" s="562"/>
    </row>
    <row r="66" spans="1:14" s="381" customFormat="1" ht="26.2" customHeight="1">
      <c r="A66" s="719" t="s">
        <v>343</v>
      </c>
      <c r="B66" s="720"/>
      <c r="C66" s="720"/>
      <c r="D66" s="720"/>
      <c r="E66" s="720"/>
      <c r="F66" s="720"/>
      <c r="G66" s="582"/>
      <c r="H66" s="31"/>
      <c r="I66" s="31"/>
      <c r="J66" s="31"/>
      <c r="K66" s="31"/>
      <c r="L66" s="31"/>
      <c r="M66" s="31"/>
      <c r="N66" s="562"/>
    </row>
    <row r="67" spans="1:14" s="381" customFormat="1" ht="409" customHeight="1">
      <c r="A67" s="871" t="s">
        <v>1132</v>
      </c>
      <c r="B67" s="872"/>
      <c r="C67" s="872"/>
      <c r="D67" s="872"/>
      <c r="E67" s="872"/>
      <c r="F67" s="873"/>
      <c r="G67" s="582"/>
      <c r="H67" s="31"/>
      <c r="I67" s="31"/>
      <c r="J67" s="31"/>
      <c r="K67" s="31"/>
      <c r="L67" s="31"/>
      <c r="M67" s="31"/>
      <c r="N67" s="562"/>
    </row>
    <row r="68" spans="1:14" s="381" customFormat="1">
      <c r="A68" s="724"/>
      <c r="B68" s="725"/>
      <c r="C68" s="725"/>
      <c r="D68" s="725"/>
      <c r="E68" s="725"/>
      <c r="F68" s="725"/>
      <c r="G68" s="582"/>
      <c r="H68" s="31"/>
      <c r="I68" s="31"/>
      <c r="J68" s="31"/>
      <c r="K68" s="31"/>
      <c r="L68" s="31"/>
      <c r="M68" s="31"/>
      <c r="N68" s="562"/>
    </row>
    <row r="69" spans="1:14" s="381" customFormat="1">
      <c r="A69" s="597" t="s">
        <v>344</v>
      </c>
      <c r="B69" s="587"/>
      <c r="C69" s="686"/>
      <c r="D69" s="587"/>
      <c r="E69" s="587"/>
      <c r="F69" s="587"/>
      <c r="G69" s="582"/>
      <c r="H69" s="31"/>
      <c r="I69" s="31"/>
      <c r="J69" s="31"/>
      <c r="K69" s="31"/>
      <c r="L69" s="31"/>
      <c r="M69" s="31"/>
      <c r="N69" s="562"/>
    </row>
    <row r="70" spans="1:14" s="381" customFormat="1" ht="44.75" customHeight="1">
      <c r="A70" s="726" t="s">
        <v>345</v>
      </c>
      <c r="B70" s="727"/>
      <c r="C70" s="727"/>
      <c r="D70" s="727"/>
      <c r="E70" s="727"/>
      <c r="F70" s="727"/>
      <c r="G70" s="582"/>
      <c r="H70" s="31"/>
      <c r="I70" s="31"/>
      <c r="J70" s="31"/>
      <c r="K70" s="31"/>
      <c r="L70" s="31"/>
      <c r="M70" s="31"/>
      <c r="N70" s="562"/>
    </row>
    <row r="71" spans="1:14" s="381" customFormat="1" ht="108.4" customHeight="1">
      <c r="A71" s="766" t="s">
        <v>1133</v>
      </c>
      <c r="B71" s="729"/>
      <c r="C71" s="729"/>
      <c r="D71" s="729"/>
      <c r="E71" s="729"/>
      <c r="F71" s="730"/>
      <c r="G71" s="582"/>
      <c r="H71" s="31"/>
      <c r="I71" s="31"/>
      <c r="J71" s="31"/>
      <c r="K71" s="31"/>
      <c r="L71" s="31"/>
      <c r="M71" s="31"/>
      <c r="N71" s="562"/>
    </row>
    <row r="72" spans="1:14" s="381" customFormat="1" ht="15.6" thickBot="1">
      <c r="A72" s="598"/>
      <c r="B72" s="599"/>
      <c r="C72" s="600"/>
      <c r="D72" s="599"/>
      <c r="E72" s="599"/>
      <c r="F72" s="599"/>
      <c r="G72" s="601"/>
      <c r="H72" s="31"/>
      <c r="I72" s="31"/>
      <c r="J72" s="31"/>
      <c r="K72" s="31"/>
      <c r="L72" s="31"/>
      <c r="M72" s="31"/>
      <c r="N72" s="562"/>
    </row>
    <row r="73" spans="1:14" s="381" customFormat="1">
      <c r="A73" s="31"/>
      <c r="B73" s="31"/>
      <c r="C73" s="32"/>
      <c r="D73" s="31"/>
      <c r="E73" s="31"/>
      <c r="F73" s="31"/>
      <c r="G73" s="31"/>
      <c r="H73" s="31"/>
      <c r="I73" s="31"/>
      <c r="J73" s="31"/>
      <c r="K73" s="31"/>
      <c r="L73" s="31"/>
      <c r="M73" s="31"/>
      <c r="N73" s="562"/>
    </row>
    <row r="74" spans="1:14" s="381" customFormat="1">
      <c r="C74" s="687"/>
    </row>
    <row r="75" spans="1:14" s="381" customFormat="1">
      <c r="C75" s="687"/>
    </row>
  </sheetData>
  <mergeCells count="18">
    <mergeCell ref="A1:N1"/>
    <mergeCell ref="A41:C41"/>
    <mergeCell ref="A43:F43"/>
    <mergeCell ref="A44:F44"/>
    <mergeCell ref="A45:B45"/>
    <mergeCell ref="A51:F51"/>
    <mergeCell ref="A52:F52"/>
    <mergeCell ref="A55:F55"/>
    <mergeCell ref="A57:F57"/>
    <mergeCell ref="A67:F67"/>
    <mergeCell ref="A68:F68"/>
    <mergeCell ref="A70:F70"/>
    <mergeCell ref="A71:F71"/>
    <mergeCell ref="A58:F58"/>
    <mergeCell ref="A59:F59"/>
    <mergeCell ref="A61:D61"/>
    <mergeCell ref="A62:F62"/>
    <mergeCell ref="A66:F66"/>
  </mergeCells>
  <printOptions horizontalCentered="1"/>
  <pageMargins left="0.2" right="0.2" top="0.75" bottom="0.75" header="0.3" footer="0.3"/>
  <pageSetup scale="68" fitToHeight="0" orientation="landscape" r:id="rId1"/>
  <headerFooter>
    <oddHeader xml:space="preserve">&amp;CDRAFT NOT FOR DISTRIBUTION, INTERNAL USE ONLY
</oddHead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2" tint="-0.249977111117893"/>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9" width="7.140625" customWidth="1"/>
    <col min="10" max="10" width="9.7109375" customWidth="1"/>
    <col min="11" max="11" width="7.7109375" customWidth="1"/>
    <col min="12" max="12" width="9.7109375" customWidth="1"/>
    <col min="13" max="13" width="9.140625" customWidth="1"/>
    <col min="14" max="14" width="51.7109375" customWidth="1"/>
  </cols>
  <sheetData>
    <row r="1" spans="1:14" ht="15.6">
      <c r="A1" s="745" t="s">
        <v>482</v>
      </c>
      <c r="B1" s="745"/>
      <c r="C1" s="745"/>
      <c r="D1" s="745"/>
      <c r="E1" s="745"/>
      <c r="F1" s="745"/>
      <c r="G1" s="745"/>
      <c r="H1" s="745"/>
      <c r="I1" s="745"/>
      <c r="J1" s="745"/>
      <c r="K1" s="745"/>
      <c r="L1" s="745"/>
      <c r="M1" s="745"/>
      <c r="N1" s="745"/>
    </row>
    <row r="2" spans="1:14">
      <c r="A2" s="65" t="s">
        <v>1134</v>
      </c>
      <c r="B2" s="381"/>
      <c r="C2" s="687"/>
      <c r="D2" s="381"/>
      <c r="E2" s="381"/>
      <c r="F2" s="381"/>
      <c r="G2" s="381"/>
      <c r="H2" s="381"/>
      <c r="I2" s="381"/>
      <c r="J2" s="381"/>
      <c r="K2" s="381"/>
      <c r="L2" s="381"/>
      <c r="M2" s="381"/>
      <c r="N2" s="381"/>
    </row>
    <row r="3" spans="1:14">
      <c r="A3" s="68" t="s">
        <v>919</v>
      </c>
      <c r="B3" s="381"/>
      <c r="C3" s="687"/>
      <c r="D3" s="381"/>
      <c r="E3" s="381"/>
      <c r="F3" s="381"/>
      <c r="G3" s="554" t="s">
        <v>275</v>
      </c>
      <c r="H3" s="29"/>
      <c r="I3" s="381"/>
      <c r="J3" s="381"/>
      <c r="K3" s="381"/>
      <c r="L3" s="381"/>
      <c r="M3" s="381"/>
      <c r="N3" s="381"/>
    </row>
    <row r="4" spans="1:14">
      <c r="A4" s="68" t="s">
        <v>920</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ht="133.65">
      <c r="A7" s="36" t="s">
        <v>1135</v>
      </c>
      <c r="B7" s="36"/>
      <c r="C7" s="37" t="s">
        <v>287</v>
      </c>
      <c r="D7" s="38">
        <v>0.09</v>
      </c>
      <c r="E7" s="263">
        <v>8</v>
      </c>
      <c r="F7" s="309">
        <f t="shared" ref="F7:F15" si="0">SUM(G7:M7)</f>
        <v>10</v>
      </c>
      <c r="G7" s="310">
        <v>0</v>
      </c>
      <c r="H7" s="310">
        <v>0</v>
      </c>
      <c r="I7" s="310">
        <v>0</v>
      </c>
      <c r="J7" s="310">
        <v>10</v>
      </c>
      <c r="K7" s="310">
        <v>0</v>
      </c>
      <c r="L7" s="310">
        <v>0</v>
      </c>
      <c r="M7" s="311">
        <v>0</v>
      </c>
      <c r="N7" s="572" t="s">
        <v>1136</v>
      </c>
    </row>
    <row r="8" spans="1:14" ht="15.05" customHeight="1">
      <c r="A8" s="36" t="s">
        <v>286</v>
      </c>
      <c r="B8" s="36"/>
      <c r="C8" s="37" t="s">
        <v>287</v>
      </c>
      <c r="D8" s="39"/>
      <c r="E8" s="263">
        <v>0</v>
      </c>
      <c r="F8" s="309">
        <f t="shared" si="0"/>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0.09</v>
      </c>
      <c r="E16" s="42">
        <f t="shared" si="1"/>
        <v>8</v>
      </c>
      <c r="F16" s="43">
        <f t="shared" si="1"/>
        <v>10</v>
      </c>
      <c r="G16" s="43">
        <f t="shared" si="1"/>
        <v>0</v>
      </c>
      <c r="H16" s="43">
        <f t="shared" si="1"/>
        <v>0</v>
      </c>
      <c r="I16" s="43">
        <f t="shared" si="1"/>
        <v>0</v>
      </c>
      <c r="J16" s="43">
        <f t="shared" si="1"/>
        <v>10</v>
      </c>
      <c r="K16" s="43">
        <f t="shared" si="1"/>
        <v>0</v>
      </c>
      <c r="L16" s="43">
        <f t="shared" si="1"/>
        <v>0</v>
      </c>
      <c r="M16" s="43">
        <f t="shared" si="1"/>
        <v>0</v>
      </c>
      <c r="N16" s="254"/>
    </row>
    <row r="17" spans="1:14">
      <c r="A17" s="69" t="s">
        <v>289</v>
      </c>
      <c r="B17" s="70"/>
      <c r="C17" s="71"/>
      <c r="D17" s="70"/>
      <c r="E17" s="70"/>
      <c r="F17" s="72"/>
      <c r="G17" s="72"/>
      <c r="H17" s="72"/>
      <c r="I17" s="72"/>
      <c r="J17" s="72"/>
      <c r="K17" s="72"/>
      <c r="L17" s="72"/>
      <c r="M17" s="72"/>
      <c r="N17" s="72"/>
    </row>
    <row r="18" spans="1:14" ht="125.45" customHeight="1">
      <c r="A18" s="264" t="s">
        <v>1137</v>
      </c>
      <c r="B18" s="73" t="s">
        <v>1121</v>
      </c>
      <c r="C18" s="44">
        <v>252</v>
      </c>
      <c r="D18" s="45"/>
      <c r="E18" s="459">
        <v>98</v>
      </c>
      <c r="F18" s="460">
        <f>SUM(G18:M18)</f>
        <v>98</v>
      </c>
      <c r="G18" s="310">
        <v>0</v>
      </c>
      <c r="H18" s="310">
        <v>0</v>
      </c>
      <c r="I18" s="310">
        <v>0</v>
      </c>
      <c r="J18" s="310">
        <v>98</v>
      </c>
      <c r="K18" s="310">
        <v>0</v>
      </c>
      <c r="L18" s="310">
        <v>0</v>
      </c>
      <c r="M18" s="311">
        <v>0</v>
      </c>
      <c r="N18" s="327" t="s">
        <v>1138</v>
      </c>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7"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102" t="s">
        <v>294</v>
      </c>
      <c r="B22" s="103"/>
      <c r="C22" s="104"/>
      <c r="D22" s="105">
        <f>SUM(D18:D21)</f>
        <v>0</v>
      </c>
      <c r="E22" s="106">
        <f>SUM(E18:E21)</f>
        <v>98</v>
      </c>
      <c r="F22" s="101">
        <f>SUM(F18:F21)</f>
        <v>98</v>
      </c>
      <c r="G22" s="101">
        <f t="shared" ref="G22:M22" si="2">SUM(G18:G21)</f>
        <v>0</v>
      </c>
      <c r="H22" s="101">
        <f t="shared" si="2"/>
        <v>0</v>
      </c>
      <c r="I22" s="101">
        <f t="shared" si="2"/>
        <v>0</v>
      </c>
      <c r="J22" s="101">
        <f t="shared" si="2"/>
        <v>98</v>
      </c>
      <c r="K22" s="101">
        <f t="shared" si="2"/>
        <v>0</v>
      </c>
      <c r="L22" s="101">
        <f t="shared" si="2"/>
        <v>0</v>
      </c>
      <c r="M22" s="101">
        <f t="shared" si="2"/>
        <v>0</v>
      </c>
      <c r="N22" s="100"/>
    </row>
    <row r="23" spans="1:14" s="7" customFormat="1">
      <c r="A23" s="69" t="s">
        <v>295</v>
      </c>
      <c r="B23" s="70"/>
      <c r="C23" s="71"/>
      <c r="D23" s="70"/>
      <c r="E23" s="70"/>
      <c r="F23" s="72"/>
      <c r="G23" s="72"/>
      <c r="H23" s="72"/>
      <c r="I23" s="72"/>
      <c r="J23" s="72"/>
      <c r="K23" s="72"/>
      <c r="L23" s="72"/>
      <c r="M23" s="72"/>
      <c r="N23" s="72"/>
    </row>
    <row r="24" spans="1:14" ht="15.05" customHeight="1">
      <c r="A24" s="264" t="s">
        <v>296</v>
      </c>
      <c r="B24" s="36"/>
      <c r="C24" s="37" t="s">
        <v>297</v>
      </c>
      <c r="D24" s="38">
        <v>0</v>
      </c>
      <c r="E24" s="263">
        <v>3</v>
      </c>
      <c r="F24" s="309">
        <f t="shared" ref="F24:F35" si="3">SUM(G24:M24)</f>
        <v>3</v>
      </c>
      <c r="G24" s="310">
        <v>0</v>
      </c>
      <c r="H24" s="310">
        <v>0</v>
      </c>
      <c r="I24" s="310">
        <v>0</v>
      </c>
      <c r="J24" s="310">
        <v>3</v>
      </c>
      <c r="K24" s="310">
        <v>0</v>
      </c>
      <c r="L24" s="310">
        <v>0</v>
      </c>
      <c r="M24" s="311">
        <v>0</v>
      </c>
      <c r="N24" s="567" t="s">
        <v>1139</v>
      </c>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c r="A28" s="264" t="s">
        <v>304</v>
      </c>
      <c r="B28" s="36"/>
      <c r="C28" s="44">
        <v>251</v>
      </c>
      <c r="D28" s="45"/>
      <c r="E28" s="263">
        <v>0</v>
      </c>
      <c r="F28" s="309">
        <f t="shared" si="3"/>
        <v>0</v>
      </c>
      <c r="G28" s="310">
        <v>0</v>
      </c>
      <c r="H28" s="310">
        <v>0</v>
      </c>
      <c r="I28" s="310">
        <v>0</v>
      </c>
      <c r="J28" s="310">
        <v>0</v>
      </c>
      <c r="K28" s="310">
        <v>0</v>
      </c>
      <c r="L28" s="310">
        <v>0</v>
      </c>
      <c r="M28" s="311">
        <v>0</v>
      </c>
      <c r="N28" s="355"/>
    </row>
    <row r="29" spans="1:14">
      <c r="A29" s="264" t="s">
        <v>313</v>
      </c>
      <c r="B29" s="36"/>
      <c r="C29" s="44">
        <v>252</v>
      </c>
      <c r="D29" s="45"/>
      <c r="E29" s="263">
        <v>0</v>
      </c>
      <c r="F29" s="309">
        <f t="shared" si="3"/>
        <v>0</v>
      </c>
      <c r="G29" s="310">
        <v>0</v>
      </c>
      <c r="H29" s="310">
        <v>0</v>
      </c>
      <c r="I29" s="310">
        <v>0</v>
      </c>
      <c r="J29" s="310">
        <v>0</v>
      </c>
      <c r="K29" s="310">
        <v>0</v>
      </c>
      <c r="L29" s="310">
        <v>0</v>
      </c>
      <c r="M29" s="311">
        <v>0</v>
      </c>
      <c r="N29" s="355"/>
    </row>
    <row r="30" spans="1:14">
      <c r="A30" s="264" t="s">
        <v>314</v>
      </c>
      <c r="B30" s="36"/>
      <c r="C30" s="44">
        <v>252</v>
      </c>
      <c r="D30" s="45"/>
      <c r="E30" s="263">
        <v>0</v>
      </c>
      <c r="F30" s="309">
        <f t="shared" si="3"/>
        <v>0</v>
      </c>
      <c r="G30" s="310">
        <v>0</v>
      </c>
      <c r="H30" s="310">
        <v>0</v>
      </c>
      <c r="I30" s="310">
        <v>0</v>
      </c>
      <c r="J30" s="310">
        <v>0</v>
      </c>
      <c r="K30" s="310">
        <v>0</v>
      </c>
      <c r="L30" s="310">
        <v>0</v>
      </c>
      <c r="M30" s="311">
        <v>0</v>
      </c>
      <c r="N30" s="355"/>
    </row>
    <row r="31" spans="1:14">
      <c r="A31" s="264" t="s">
        <v>315</v>
      </c>
      <c r="B31" s="36"/>
      <c r="C31" s="44">
        <v>253</v>
      </c>
      <c r="D31" s="264"/>
      <c r="E31" s="263">
        <v>0</v>
      </c>
      <c r="F31" s="309">
        <f t="shared" si="3"/>
        <v>0</v>
      </c>
      <c r="G31" s="310">
        <v>0</v>
      </c>
      <c r="H31" s="310">
        <v>0</v>
      </c>
      <c r="I31" s="310">
        <v>0</v>
      </c>
      <c r="J31" s="310">
        <v>0</v>
      </c>
      <c r="K31" s="310">
        <v>0</v>
      </c>
      <c r="L31" s="310">
        <v>0</v>
      </c>
      <c r="M31" s="311">
        <v>0</v>
      </c>
      <c r="N31" s="355"/>
    </row>
    <row r="32" spans="1:14">
      <c r="A32" s="264" t="s">
        <v>316</v>
      </c>
      <c r="B32" s="36"/>
      <c r="C32" s="44">
        <v>255</v>
      </c>
      <c r="D32" s="264"/>
      <c r="E32" s="263">
        <v>0</v>
      </c>
      <c r="F32" s="309">
        <f t="shared" si="3"/>
        <v>0</v>
      </c>
      <c r="G32" s="310">
        <v>0</v>
      </c>
      <c r="H32" s="310">
        <v>0</v>
      </c>
      <c r="I32" s="310">
        <v>0</v>
      </c>
      <c r="J32" s="310">
        <v>0</v>
      </c>
      <c r="K32" s="310">
        <v>0</v>
      </c>
      <c r="L32" s="310">
        <v>0</v>
      </c>
      <c r="M32" s="311">
        <v>0</v>
      </c>
      <c r="N32" s="355"/>
    </row>
    <row r="33" spans="1:14">
      <c r="A33" s="264" t="s">
        <v>317</v>
      </c>
      <c r="B33" s="36"/>
      <c r="C33" s="44">
        <v>256</v>
      </c>
      <c r="D33" s="264"/>
      <c r="E33" s="263">
        <v>0</v>
      </c>
      <c r="F33" s="309">
        <f t="shared" si="3"/>
        <v>0</v>
      </c>
      <c r="G33" s="310">
        <v>0</v>
      </c>
      <c r="H33" s="310">
        <v>0</v>
      </c>
      <c r="I33" s="310">
        <v>0</v>
      </c>
      <c r="J33" s="310">
        <v>0</v>
      </c>
      <c r="K33" s="310">
        <v>0</v>
      </c>
      <c r="L33" s="310">
        <v>0</v>
      </c>
      <c r="M33" s="311">
        <v>0</v>
      </c>
      <c r="N33" s="355"/>
    </row>
    <row r="34" spans="1:14">
      <c r="A34" s="264" t="s">
        <v>318</v>
      </c>
      <c r="B34" s="36"/>
      <c r="C34" s="44">
        <v>257</v>
      </c>
      <c r="D34" s="264"/>
      <c r="E34" s="263">
        <v>0</v>
      </c>
      <c r="F34" s="309">
        <f t="shared" si="3"/>
        <v>0</v>
      </c>
      <c r="G34" s="310">
        <v>0</v>
      </c>
      <c r="H34" s="310">
        <v>0</v>
      </c>
      <c r="I34" s="310">
        <v>0</v>
      </c>
      <c r="J34" s="310">
        <v>0</v>
      </c>
      <c r="K34" s="310">
        <v>0</v>
      </c>
      <c r="L34" s="310">
        <v>0</v>
      </c>
      <c r="M34" s="311">
        <v>0</v>
      </c>
      <c r="N34" s="355"/>
    </row>
    <row r="35" spans="1:14">
      <c r="A35" s="264" t="s">
        <v>319</v>
      </c>
      <c r="B35" s="36"/>
      <c r="C35" s="44" t="s">
        <v>320</v>
      </c>
      <c r="D35" s="264"/>
      <c r="E35" s="263">
        <v>0</v>
      </c>
      <c r="F35" s="309">
        <f t="shared" si="3"/>
        <v>0</v>
      </c>
      <c r="G35" s="310">
        <v>0</v>
      </c>
      <c r="H35" s="310">
        <v>0</v>
      </c>
      <c r="I35" s="310">
        <v>0</v>
      </c>
      <c r="J35" s="310">
        <v>0</v>
      </c>
      <c r="K35" s="310">
        <v>0</v>
      </c>
      <c r="L35" s="310">
        <v>0</v>
      </c>
      <c r="M35" s="311">
        <v>0</v>
      </c>
      <c r="N35" s="355"/>
    </row>
    <row r="36" spans="1:14" s="381" customFormat="1">
      <c r="A36" s="265" t="s">
        <v>321</v>
      </c>
      <c r="B36" s="36"/>
      <c r="C36" s="266" t="s">
        <v>322</v>
      </c>
      <c r="D36" s="265"/>
      <c r="E36" s="263">
        <v>0</v>
      </c>
      <c r="F36" s="309">
        <f>SUM(G36:M36)</f>
        <v>0</v>
      </c>
      <c r="G36" s="310">
        <v>0</v>
      </c>
      <c r="H36" s="310">
        <v>0</v>
      </c>
      <c r="I36" s="310">
        <v>0</v>
      </c>
      <c r="J36" s="310">
        <v>0</v>
      </c>
      <c r="K36" s="310">
        <v>0</v>
      </c>
      <c r="L36" s="310">
        <v>0</v>
      </c>
      <c r="M36" s="311">
        <v>0</v>
      </c>
      <c r="N36" s="355"/>
    </row>
    <row r="37" spans="1:14">
      <c r="A37" s="265" t="s">
        <v>323</v>
      </c>
      <c r="B37" s="390"/>
      <c r="C37" s="266" t="s">
        <v>324</v>
      </c>
      <c r="D37" s="265"/>
      <c r="E37" s="318">
        <v>0</v>
      </c>
      <c r="F37" s="309">
        <f>SUM(G37:M37)</f>
        <v>0</v>
      </c>
      <c r="G37" s="165">
        <v>0</v>
      </c>
      <c r="H37" s="165">
        <v>0</v>
      </c>
      <c r="I37" s="165">
        <v>0</v>
      </c>
      <c r="J37" s="165">
        <v>0</v>
      </c>
      <c r="K37" s="165">
        <v>0</v>
      </c>
      <c r="L37" s="165">
        <v>0</v>
      </c>
      <c r="M37" s="166">
        <v>0</v>
      </c>
      <c r="N37" s="325"/>
    </row>
    <row r="38" spans="1:14">
      <c r="A38" s="40" t="s">
        <v>326</v>
      </c>
      <c r="B38" s="265"/>
      <c r="C38" s="266"/>
      <c r="D38" s="267"/>
      <c r="E38" s="42">
        <f t="shared" ref="E38:M38" si="4">SUM(E24:E37)</f>
        <v>3</v>
      </c>
      <c r="F38" s="43">
        <f t="shared" si="4"/>
        <v>3</v>
      </c>
      <c r="G38" s="43">
        <f t="shared" si="4"/>
        <v>0</v>
      </c>
      <c r="H38" s="43">
        <f t="shared" si="4"/>
        <v>0</v>
      </c>
      <c r="I38" s="43">
        <f t="shared" si="4"/>
        <v>0</v>
      </c>
      <c r="J38" s="43">
        <f t="shared" si="4"/>
        <v>3</v>
      </c>
      <c r="K38" s="43">
        <f t="shared" si="4"/>
        <v>0</v>
      </c>
      <c r="L38" s="43">
        <f t="shared" si="4"/>
        <v>0</v>
      </c>
      <c r="M38" s="43">
        <f t="shared" si="4"/>
        <v>0</v>
      </c>
      <c r="N38" s="355"/>
    </row>
    <row r="39" spans="1:14" s="151" customFormat="1">
      <c r="A39" s="40" t="s">
        <v>327</v>
      </c>
      <c r="B39" s="51"/>
      <c r="C39" s="149"/>
      <c r="D39" s="267"/>
      <c r="E39" s="241"/>
      <c r="F39" s="240">
        <v>0</v>
      </c>
      <c r="G39" s="240"/>
      <c r="H39" s="240">
        <v>0</v>
      </c>
      <c r="I39" s="240"/>
      <c r="J39" s="240"/>
      <c r="K39" s="240"/>
      <c r="L39" s="240"/>
      <c r="M39" s="240"/>
      <c r="N39" s="355"/>
    </row>
    <row r="40" spans="1:14" ht="35.65">
      <c r="A40" s="40" t="s">
        <v>328</v>
      </c>
      <c r="B40" s="46"/>
      <c r="C40" s="47"/>
      <c r="D40" s="48">
        <f>D38+D22+D16</f>
        <v>0.09</v>
      </c>
      <c r="E40" s="42">
        <f>E38+E22+E16-E39</f>
        <v>109</v>
      </c>
      <c r="F40" s="17">
        <f t="shared" ref="F40:M40" si="5">F38+F22+F16-F39</f>
        <v>111</v>
      </c>
      <c r="G40" s="17">
        <f t="shared" si="5"/>
        <v>0</v>
      </c>
      <c r="H40" s="17">
        <f t="shared" si="5"/>
        <v>0</v>
      </c>
      <c r="I40" s="17">
        <f t="shared" si="5"/>
        <v>0</v>
      </c>
      <c r="J40" s="17">
        <f t="shared" si="5"/>
        <v>111</v>
      </c>
      <c r="K40" s="17">
        <f t="shared" si="5"/>
        <v>0</v>
      </c>
      <c r="L40" s="17">
        <f t="shared" si="5"/>
        <v>0</v>
      </c>
      <c r="M40" s="17">
        <f t="shared" si="5"/>
        <v>0</v>
      </c>
      <c r="N40" s="568" t="s">
        <v>1140</v>
      </c>
    </row>
    <row r="43" spans="1:14" s="381" customFormat="1" ht="15.6" thickBot="1">
      <c r="A43" s="31"/>
      <c r="B43" s="31"/>
      <c r="C43" s="32"/>
      <c r="D43" s="31"/>
      <c r="E43" s="31"/>
      <c r="F43" s="31"/>
      <c r="G43" s="31"/>
      <c r="H43" s="31"/>
      <c r="I43" s="31"/>
      <c r="J43" s="31"/>
      <c r="K43" s="31"/>
      <c r="L43" s="31"/>
      <c r="M43" s="31"/>
      <c r="N43" s="562"/>
    </row>
    <row r="44" spans="1:14" s="381" customFormat="1" ht="15.6">
      <c r="A44" s="764" t="s">
        <v>330</v>
      </c>
      <c r="B44" s="765"/>
      <c r="C44" s="765"/>
      <c r="D44" s="765"/>
      <c r="E44" s="765"/>
      <c r="F44" s="765"/>
      <c r="G44" s="581"/>
      <c r="H44" s="31"/>
      <c r="I44" s="31"/>
      <c r="J44" s="31"/>
      <c r="K44" s="31"/>
      <c r="L44" s="31"/>
      <c r="M44" s="31"/>
      <c r="N44" s="562"/>
    </row>
    <row r="45" spans="1:14" s="381" customFormat="1" ht="15.6">
      <c r="A45" s="738"/>
      <c r="B45" s="739"/>
      <c r="C45" s="739"/>
      <c r="D45" s="739"/>
      <c r="E45" s="739"/>
      <c r="F45" s="739"/>
      <c r="G45" s="582"/>
      <c r="H45" s="31"/>
      <c r="I45" s="31"/>
      <c r="J45" s="31"/>
      <c r="K45" s="31"/>
      <c r="L45" s="31"/>
      <c r="M45" s="31"/>
      <c r="N45" s="562"/>
    </row>
    <row r="46" spans="1:14" s="381" customFormat="1">
      <c r="A46" s="740" t="s">
        <v>331</v>
      </c>
      <c r="B46" s="741"/>
      <c r="C46" s="583"/>
      <c r="D46" s="583"/>
      <c r="E46" s="583"/>
      <c r="F46" s="583"/>
      <c r="G46" s="582"/>
      <c r="H46" s="31"/>
      <c r="I46" s="31"/>
      <c r="J46" s="31"/>
      <c r="K46" s="31"/>
      <c r="L46" s="31"/>
      <c r="M46" s="31"/>
      <c r="N46" s="562"/>
    </row>
    <row r="47" spans="1:14" s="381" customFormat="1">
      <c r="A47" s="584" t="s">
        <v>480</v>
      </c>
      <c r="B47" s="585">
        <f>E40</f>
        <v>109</v>
      </c>
      <c r="C47" s="586"/>
      <c r="D47" s="587"/>
      <c r="E47" s="587"/>
      <c r="F47" s="587"/>
      <c r="G47" s="582"/>
      <c r="H47" s="31"/>
      <c r="I47" s="31"/>
      <c r="J47" s="31"/>
      <c r="K47" s="31"/>
      <c r="L47" s="31"/>
      <c r="M47" s="31"/>
      <c r="N47" s="562"/>
    </row>
    <row r="48" spans="1:14" s="381" customFormat="1">
      <c r="A48" s="588" t="s">
        <v>481</v>
      </c>
      <c r="B48" s="589">
        <f>F40</f>
        <v>111</v>
      </c>
      <c r="C48" s="586"/>
      <c r="D48" s="587"/>
      <c r="E48" s="587"/>
      <c r="F48" s="587"/>
      <c r="G48" s="582"/>
      <c r="H48" s="31"/>
      <c r="I48" s="31"/>
      <c r="J48" s="31"/>
      <c r="K48" s="31"/>
      <c r="L48" s="31"/>
      <c r="M48" s="31"/>
      <c r="N48" s="562"/>
    </row>
    <row r="49" spans="1:14" s="381" customFormat="1">
      <c r="A49" s="590" t="s">
        <v>334</v>
      </c>
      <c r="B49" s="591">
        <f>B48-B47</f>
        <v>2</v>
      </c>
      <c r="C49" s="586"/>
      <c r="D49" s="587"/>
      <c r="E49" s="587"/>
      <c r="F49" s="587"/>
      <c r="G49" s="582"/>
      <c r="H49" s="31"/>
      <c r="I49" s="31"/>
      <c r="J49" s="31"/>
      <c r="K49" s="31"/>
      <c r="L49" s="31"/>
      <c r="M49" s="31"/>
      <c r="N49" s="562"/>
    </row>
    <row r="50" spans="1:14" s="381" customFormat="1">
      <c r="A50" s="590" t="s">
        <v>335</v>
      </c>
      <c r="B50" s="592">
        <f>B49/B47</f>
        <v>1.834862385321101E-2</v>
      </c>
      <c r="C50" s="586"/>
      <c r="D50" s="587"/>
      <c r="E50" s="587"/>
      <c r="F50" s="587"/>
      <c r="G50" s="582"/>
      <c r="H50" s="31"/>
      <c r="I50" s="31"/>
      <c r="J50" s="31"/>
      <c r="K50" s="31"/>
      <c r="L50" s="31"/>
      <c r="M50" s="31"/>
      <c r="N50" s="562"/>
    </row>
    <row r="51" spans="1:14" s="381" customFormat="1">
      <c r="A51" s="593"/>
      <c r="B51" s="587"/>
      <c r="C51" s="686"/>
      <c r="D51" s="587"/>
      <c r="E51" s="587"/>
      <c r="F51" s="587"/>
      <c r="G51" s="582"/>
      <c r="H51" s="31"/>
      <c r="I51" s="31"/>
      <c r="J51" s="31"/>
      <c r="K51" s="31"/>
      <c r="L51" s="31"/>
      <c r="M51" s="31"/>
      <c r="N51" s="562"/>
    </row>
    <row r="52" spans="1:14" s="381" customFormat="1">
      <c r="A52" s="731" t="s">
        <v>336</v>
      </c>
      <c r="B52" s="732"/>
      <c r="C52" s="732"/>
      <c r="D52" s="732"/>
      <c r="E52" s="732"/>
      <c r="F52" s="732"/>
      <c r="G52" s="582"/>
      <c r="H52" s="31"/>
      <c r="I52" s="31"/>
      <c r="J52" s="31"/>
      <c r="K52" s="31"/>
      <c r="L52" s="31"/>
      <c r="M52" s="31"/>
      <c r="N52" s="562"/>
    </row>
    <row r="53" spans="1:14" s="381" customFormat="1" ht="54.95" customHeight="1">
      <c r="A53" s="742" t="s">
        <v>1141</v>
      </c>
      <c r="B53" s="743"/>
      <c r="C53" s="743"/>
      <c r="D53" s="743"/>
      <c r="E53" s="743"/>
      <c r="F53" s="744"/>
      <c r="G53" s="582"/>
      <c r="H53" s="31"/>
      <c r="I53" s="31"/>
      <c r="J53" s="31"/>
      <c r="K53" s="31"/>
      <c r="L53" s="31"/>
      <c r="M53" s="31"/>
      <c r="N53" s="562"/>
    </row>
    <row r="54" spans="1:14" s="381" customFormat="1">
      <c r="A54" s="594"/>
      <c r="B54" s="595"/>
      <c r="C54" s="595"/>
      <c r="D54" s="595"/>
      <c r="E54" s="595"/>
      <c r="F54" s="595"/>
      <c r="G54" s="582"/>
      <c r="H54" s="31"/>
      <c r="I54" s="31"/>
      <c r="J54" s="31"/>
      <c r="K54" s="31"/>
      <c r="L54" s="31"/>
      <c r="M54" s="31"/>
      <c r="N54" s="562"/>
    </row>
    <row r="55" spans="1:14" s="381" customFormat="1">
      <c r="A55" s="596" t="s">
        <v>337</v>
      </c>
      <c r="B55" s="587"/>
      <c r="C55" s="686"/>
      <c r="D55" s="587"/>
      <c r="E55" s="587"/>
      <c r="F55" s="587"/>
      <c r="G55" s="582"/>
      <c r="H55" s="31"/>
      <c r="I55" s="31"/>
      <c r="J55" s="31"/>
      <c r="K55" s="31"/>
      <c r="L55" s="31"/>
      <c r="M55" s="31"/>
      <c r="N55" s="562"/>
    </row>
    <row r="56" spans="1:14" s="381" customFormat="1" ht="138.25" customHeight="1">
      <c r="A56" s="742" t="s">
        <v>1142</v>
      </c>
      <c r="B56" s="743"/>
      <c r="C56" s="743"/>
      <c r="D56" s="743"/>
      <c r="E56" s="743"/>
      <c r="F56" s="744"/>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365</v>
      </c>
      <c r="B58" s="732"/>
      <c r="C58" s="732"/>
      <c r="D58" s="732"/>
      <c r="E58" s="732"/>
      <c r="F58" s="732"/>
      <c r="G58" s="582"/>
      <c r="H58" s="31"/>
      <c r="I58" s="31"/>
      <c r="J58" s="31"/>
      <c r="K58" s="31"/>
      <c r="L58" s="31"/>
      <c r="M58" s="31"/>
      <c r="N58" s="562"/>
    </row>
    <row r="59" spans="1:14" s="381" customFormat="1" ht="15.05" customHeight="1">
      <c r="A59" s="733" t="s">
        <v>461</v>
      </c>
      <c r="B59" s="734"/>
      <c r="C59" s="734"/>
      <c r="D59" s="734"/>
      <c r="E59" s="734"/>
      <c r="F59" s="734"/>
      <c r="G59" s="582"/>
      <c r="H59" s="31"/>
      <c r="I59" s="31"/>
      <c r="J59" s="31"/>
      <c r="K59" s="31"/>
      <c r="L59" s="31"/>
      <c r="M59" s="31"/>
      <c r="N59" s="562"/>
    </row>
    <row r="60" spans="1:14" s="381" customFormat="1" ht="186.35" customHeight="1">
      <c r="A60" s="742" t="s">
        <v>1143</v>
      </c>
      <c r="B60" s="736"/>
      <c r="C60" s="736"/>
      <c r="D60" s="736"/>
      <c r="E60" s="736"/>
      <c r="F60" s="737"/>
      <c r="G60" s="582"/>
      <c r="H60" s="31"/>
      <c r="I60" s="31"/>
      <c r="J60" s="31"/>
      <c r="K60" s="31"/>
      <c r="L60" s="31"/>
      <c r="M60" s="31"/>
      <c r="N60" s="562"/>
    </row>
    <row r="61" spans="1:14" s="381" customFormat="1">
      <c r="A61" s="596"/>
      <c r="B61" s="587"/>
      <c r="C61" s="686"/>
      <c r="D61" s="587"/>
      <c r="E61" s="587"/>
      <c r="F61" s="587"/>
      <c r="G61" s="582"/>
      <c r="H61" s="31"/>
      <c r="I61" s="31"/>
      <c r="J61" s="31"/>
      <c r="K61" s="31"/>
      <c r="L61" s="31"/>
      <c r="M61" s="31"/>
      <c r="N61" s="562"/>
    </row>
    <row r="62" spans="1:14" s="381" customFormat="1">
      <c r="A62" s="731" t="s">
        <v>340</v>
      </c>
      <c r="B62" s="732"/>
      <c r="C62" s="732"/>
      <c r="D62" s="732"/>
      <c r="E62" s="732"/>
      <c r="F62" s="587"/>
      <c r="G62" s="582"/>
      <c r="H62" s="31"/>
      <c r="I62" s="31"/>
      <c r="J62" s="31"/>
      <c r="K62" s="31"/>
      <c r="L62" s="31"/>
      <c r="M62" s="31"/>
      <c r="N62" s="562"/>
    </row>
    <row r="63" spans="1:14" s="381" customFormat="1" ht="56.45" customHeight="1">
      <c r="A63" s="742" t="s">
        <v>1144</v>
      </c>
      <c r="B63" s="743"/>
      <c r="C63" s="743"/>
      <c r="D63" s="743"/>
      <c r="E63" s="743"/>
      <c r="F63" s="744"/>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596" t="s">
        <v>341</v>
      </c>
      <c r="B65" s="587"/>
      <c r="C65" s="686"/>
      <c r="D65" s="587"/>
      <c r="E65" s="587"/>
      <c r="F65" s="587"/>
      <c r="G65" s="582"/>
      <c r="H65" s="31"/>
      <c r="I65" s="31"/>
      <c r="J65" s="31"/>
      <c r="K65" s="31"/>
      <c r="L65" s="31"/>
      <c r="M65" s="31"/>
      <c r="N65" s="562"/>
    </row>
    <row r="66" spans="1:14" s="381" customFormat="1">
      <c r="A66" s="597" t="s">
        <v>342</v>
      </c>
      <c r="B66" s="587"/>
      <c r="C66" s="686"/>
      <c r="D66" s="587"/>
      <c r="E66" s="587"/>
      <c r="F66" s="587"/>
      <c r="G66" s="582"/>
      <c r="H66" s="31"/>
      <c r="I66" s="31"/>
      <c r="J66" s="31"/>
      <c r="K66" s="31"/>
      <c r="L66" s="31"/>
      <c r="M66" s="31"/>
      <c r="N66" s="562"/>
    </row>
    <row r="67" spans="1:14" s="381" customFormat="1" ht="26.2" customHeight="1">
      <c r="A67" s="719" t="s">
        <v>368</v>
      </c>
      <c r="B67" s="720"/>
      <c r="C67" s="720"/>
      <c r="D67" s="720"/>
      <c r="E67" s="720"/>
      <c r="F67" s="720"/>
      <c r="G67" s="582"/>
      <c r="H67" s="31"/>
      <c r="I67" s="31"/>
      <c r="J67" s="31"/>
      <c r="K67" s="31"/>
      <c r="L67" s="31"/>
      <c r="M67" s="31"/>
      <c r="N67" s="562"/>
    </row>
    <row r="68" spans="1:14" s="381" customFormat="1" ht="103.2" customHeight="1">
      <c r="A68" s="721" t="s">
        <v>1145</v>
      </c>
      <c r="B68" s="722"/>
      <c r="C68" s="722"/>
      <c r="D68" s="722"/>
      <c r="E68" s="722"/>
      <c r="F68" s="723"/>
      <c r="G68" s="582"/>
      <c r="H68" s="31"/>
      <c r="I68" s="31"/>
      <c r="J68" s="31"/>
      <c r="K68" s="31"/>
      <c r="L68" s="31"/>
      <c r="M68" s="31"/>
      <c r="N68" s="562"/>
    </row>
    <row r="69" spans="1:14" s="381" customFormat="1">
      <c r="A69" s="724"/>
      <c r="B69" s="725"/>
      <c r="C69" s="725"/>
      <c r="D69" s="725"/>
      <c r="E69" s="725"/>
      <c r="F69" s="725"/>
      <c r="G69" s="582"/>
      <c r="H69" s="31"/>
      <c r="I69" s="31"/>
      <c r="J69" s="31"/>
      <c r="K69" s="31"/>
      <c r="L69" s="31"/>
      <c r="M69" s="31"/>
      <c r="N69" s="562"/>
    </row>
    <row r="70" spans="1:14" s="381" customFormat="1">
      <c r="A70" s="597" t="s">
        <v>344</v>
      </c>
      <c r="B70" s="587"/>
      <c r="C70" s="686"/>
      <c r="D70" s="587"/>
      <c r="E70" s="587"/>
      <c r="F70" s="587"/>
      <c r="G70" s="582"/>
      <c r="H70" s="31"/>
      <c r="I70" s="31"/>
      <c r="J70" s="31"/>
      <c r="K70" s="31"/>
      <c r="L70" s="31"/>
      <c r="M70" s="31"/>
      <c r="N70" s="562"/>
    </row>
    <row r="71" spans="1:14" s="381" customFormat="1" ht="44.75" customHeight="1">
      <c r="A71" s="726" t="s">
        <v>345</v>
      </c>
      <c r="B71" s="727"/>
      <c r="C71" s="727"/>
      <c r="D71" s="727"/>
      <c r="E71" s="727"/>
      <c r="F71" s="727"/>
      <c r="G71" s="582"/>
      <c r="H71" s="31"/>
      <c r="I71" s="31"/>
      <c r="J71" s="31"/>
      <c r="K71" s="31"/>
      <c r="L71" s="31"/>
      <c r="M71" s="31"/>
      <c r="N71" s="562"/>
    </row>
    <row r="72" spans="1:14" s="381" customFormat="1" ht="30.8" customHeight="1">
      <c r="A72" s="728"/>
      <c r="B72" s="729"/>
      <c r="C72" s="729"/>
      <c r="D72" s="729"/>
      <c r="E72" s="729"/>
      <c r="F72" s="730"/>
      <c r="G72" s="582"/>
      <c r="H72" s="31"/>
      <c r="I72" s="31"/>
      <c r="J72" s="31"/>
      <c r="K72" s="31"/>
      <c r="L72" s="31"/>
      <c r="M72" s="31"/>
      <c r="N72" s="562"/>
    </row>
    <row r="73" spans="1:14" s="381" customFormat="1" ht="15.6" thickBot="1">
      <c r="A73" s="598"/>
      <c r="B73" s="599"/>
      <c r="C73" s="600"/>
      <c r="D73" s="599"/>
      <c r="E73" s="599"/>
      <c r="F73" s="599"/>
      <c r="G73" s="601"/>
      <c r="H73" s="31"/>
      <c r="I73" s="31"/>
      <c r="J73" s="31"/>
      <c r="K73" s="31"/>
      <c r="L73" s="31"/>
      <c r="M73" s="31"/>
      <c r="N73" s="562"/>
    </row>
    <row r="74" spans="1:14" s="381" customFormat="1">
      <c r="A74" s="31"/>
      <c r="B74" s="31"/>
      <c r="C74" s="32"/>
      <c r="D74" s="31"/>
      <c r="E74" s="31"/>
      <c r="F74" s="31"/>
      <c r="G74" s="31"/>
      <c r="H74" s="31"/>
      <c r="I74" s="31"/>
      <c r="J74" s="31"/>
      <c r="K74" s="31"/>
      <c r="L74" s="31"/>
      <c r="M74" s="31"/>
      <c r="N74" s="562"/>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65" orientation="landscape" r:id="rId1"/>
  <headerFooter>
    <oddHeader xml:space="preserve">&amp;CDRAFT NOT FOR DISTRIBUTION, INTERNAL USE ONLY
</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2" tint="-0.249977111117893"/>
    <pageSetUpPr fitToPage="1"/>
  </sheetPr>
  <dimension ref="A1:N87"/>
  <sheetViews>
    <sheetView zoomScaleNormal="100" workbookViewId="0">
      <selection sqref="A1:N1"/>
    </sheetView>
  </sheetViews>
  <sheetFormatPr defaultRowHeight="14.85"/>
  <cols>
    <col min="1" max="1" width="47.42578125" customWidth="1"/>
    <col min="2" max="2" width="14.28515625" customWidth="1"/>
    <col min="3" max="3" width="7.7109375" style="30" customWidth="1"/>
    <col min="4" max="4" width="7.85546875" customWidth="1"/>
    <col min="5" max="5" width="8.5703125" customWidth="1"/>
    <col min="6" max="6" width="9.140625" customWidth="1"/>
    <col min="7" max="7" width="7.5703125" customWidth="1"/>
    <col min="8" max="8" width="6.5703125" customWidth="1"/>
    <col min="9" max="9" width="5.7109375" customWidth="1"/>
    <col min="10" max="10" width="6.140625" customWidth="1"/>
    <col min="11" max="11" width="7.7109375" customWidth="1"/>
    <col min="12" max="12" width="7.85546875" customWidth="1"/>
    <col min="13" max="13" width="9.140625" customWidth="1"/>
    <col min="14" max="14" width="51.42578125" customWidth="1"/>
  </cols>
  <sheetData>
    <row r="1" spans="1:14" ht="15.6">
      <c r="A1" s="745" t="s">
        <v>482</v>
      </c>
      <c r="B1" s="745"/>
      <c r="C1" s="745"/>
      <c r="D1" s="745"/>
      <c r="E1" s="745"/>
      <c r="F1" s="745"/>
      <c r="G1" s="745"/>
      <c r="H1" s="745"/>
      <c r="I1" s="745"/>
      <c r="J1" s="745"/>
      <c r="K1" s="745"/>
      <c r="L1" s="745"/>
      <c r="M1" s="745"/>
      <c r="N1" s="745"/>
    </row>
    <row r="2" spans="1:14">
      <c r="A2" s="65" t="s">
        <v>1146</v>
      </c>
      <c r="B2" s="381"/>
      <c r="C2" s="687"/>
      <c r="D2" s="381"/>
      <c r="E2" s="381"/>
      <c r="F2" s="381"/>
      <c r="G2" s="381"/>
      <c r="H2" s="381"/>
      <c r="I2" s="381"/>
      <c r="J2" s="381"/>
      <c r="K2" s="381"/>
      <c r="L2" s="381"/>
      <c r="M2" s="381"/>
      <c r="N2" s="381"/>
    </row>
    <row r="3" spans="1:14" ht="25.25">
      <c r="A3" s="532" t="s">
        <v>1147</v>
      </c>
      <c r="B3" s="381"/>
      <c r="C3" s="687"/>
      <c r="D3" s="381"/>
      <c r="E3" s="381"/>
      <c r="F3" s="29"/>
      <c r="G3" s="554" t="s">
        <v>275</v>
      </c>
      <c r="H3" s="381"/>
      <c r="I3" s="381"/>
      <c r="J3" s="381"/>
      <c r="K3" s="381"/>
      <c r="L3" s="381"/>
      <c r="M3" s="381"/>
      <c r="N3" s="381"/>
    </row>
    <row r="4" spans="1:14" ht="25.25">
      <c r="A4" s="532" t="s">
        <v>988</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s="381" customFormat="1">
      <c r="A7" s="36" t="s">
        <v>1148</v>
      </c>
      <c r="B7" s="36" t="s">
        <v>990</v>
      </c>
      <c r="C7" s="37" t="s">
        <v>287</v>
      </c>
      <c r="D7" s="38">
        <v>0.33</v>
      </c>
      <c r="E7" s="263">
        <v>63</v>
      </c>
      <c r="F7" s="309">
        <f t="shared" ref="F7:F15" si="0">SUM(G7:M7)</f>
        <v>65</v>
      </c>
      <c r="G7" s="310">
        <v>0</v>
      </c>
      <c r="H7" s="310">
        <v>0</v>
      </c>
      <c r="I7" s="310">
        <v>0</v>
      </c>
      <c r="J7" s="310">
        <v>0</v>
      </c>
      <c r="K7" s="310">
        <v>65</v>
      </c>
      <c r="L7" s="310">
        <v>0</v>
      </c>
      <c r="M7" s="311">
        <v>0</v>
      </c>
      <c r="N7" s="325" t="s">
        <v>991</v>
      </c>
    </row>
    <row r="8" spans="1:14" s="381" customFormat="1" ht="44.55">
      <c r="A8" s="36" t="s">
        <v>1149</v>
      </c>
      <c r="C8" s="37" t="s">
        <v>287</v>
      </c>
      <c r="D8" s="39">
        <v>0.5</v>
      </c>
      <c r="E8" s="263">
        <v>90</v>
      </c>
      <c r="F8" s="309">
        <f t="shared" si="0"/>
        <v>90</v>
      </c>
      <c r="G8" s="310">
        <v>0</v>
      </c>
      <c r="H8" s="310">
        <v>0</v>
      </c>
      <c r="I8" s="310">
        <v>0</v>
      </c>
      <c r="J8" s="310">
        <v>0</v>
      </c>
      <c r="K8" s="310">
        <v>90</v>
      </c>
      <c r="L8" s="310">
        <v>0</v>
      </c>
      <c r="M8" s="311">
        <v>0</v>
      </c>
      <c r="N8" s="325" t="s">
        <v>1150</v>
      </c>
    </row>
    <row r="9" spans="1:14" s="381" customFormat="1">
      <c r="A9" s="36" t="s">
        <v>286</v>
      </c>
      <c r="B9" s="264"/>
      <c r="C9" s="37" t="s">
        <v>287</v>
      </c>
      <c r="D9" s="39"/>
      <c r="E9" s="263">
        <v>0</v>
      </c>
      <c r="F9" s="309">
        <f t="shared" si="0"/>
        <v>0</v>
      </c>
      <c r="G9" s="310">
        <v>0</v>
      </c>
      <c r="H9" s="310">
        <v>0</v>
      </c>
      <c r="I9" s="310">
        <v>0</v>
      </c>
      <c r="J9" s="310">
        <v>0</v>
      </c>
      <c r="K9" s="310">
        <v>0</v>
      </c>
      <c r="L9" s="310">
        <v>0</v>
      </c>
      <c r="M9" s="311">
        <v>0</v>
      </c>
      <c r="N9" s="325"/>
    </row>
    <row r="10" spans="1:14" s="381" customFormat="1">
      <c r="A10" s="36" t="s">
        <v>286</v>
      </c>
      <c r="B10" s="264"/>
      <c r="C10" s="37" t="s">
        <v>287</v>
      </c>
      <c r="D10" s="39"/>
      <c r="E10" s="263">
        <v>0</v>
      </c>
      <c r="F10" s="309">
        <f t="shared" si="0"/>
        <v>0</v>
      </c>
      <c r="G10" s="310">
        <v>0</v>
      </c>
      <c r="H10" s="310">
        <v>0</v>
      </c>
      <c r="I10" s="310">
        <v>0</v>
      </c>
      <c r="J10" s="310">
        <v>0</v>
      </c>
      <c r="K10" s="310">
        <v>0</v>
      </c>
      <c r="L10" s="310">
        <v>0</v>
      </c>
      <c r="M10" s="311">
        <v>0</v>
      </c>
      <c r="N10" s="355"/>
    </row>
    <row r="11" spans="1:14" s="381" customFormat="1">
      <c r="A11" s="36" t="s">
        <v>286</v>
      </c>
      <c r="B11" s="36"/>
      <c r="C11" s="37" t="s">
        <v>287</v>
      </c>
      <c r="D11" s="39"/>
      <c r="E11" s="263">
        <v>0</v>
      </c>
      <c r="F11" s="309">
        <f t="shared" si="0"/>
        <v>0</v>
      </c>
      <c r="G11" s="310">
        <v>0</v>
      </c>
      <c r="H11" s="310">
        <v>0</v>
      </c>
      <c r="I11" s="310">
        <v>0</v>
      </c>
      <c r="J11" s="310">
        <v>0</v>
      </c>
      <c r="K11" s="310">
        <v>0</v>
      </c>
      <c r="L11" s="310">
        <v>0</v>
      </c>
      <c r="M11" s="311">
        <v>0</v>
      </c>
      <c r="N11" s="355"/>
    </row>
    <row r="12" spans="1:14" s="381" customFormat="1">
      <c r="A12" s="36" t="s">
        <v>286</v>
      </c>
      <c r="B12" s="264"/>
      <c r="C12" s="37" t="s">
        <v>287</v>
      </c>
      <c r="D12" s="39"/>
      <c r="E12" s="263">
        <v>0</v>
      </c>
      <c r="F12" s="309">
        <f t="shared" si="0"/>
        <v>0</v>
      </c>
      <c r="G12" s="310">
        <v>0</v>
      </c>
      <c r="H12" s="310">
        <v>0</v>
      </c>
      <c r="I12" s="310">
        <v>0</v>
      </c>
      <c r="J12" s="310">
        <v>0</v>
      </c>
      <c r="K12" s="310">
        <v>0</v>
      </c>
      <c r="L12" s="310">
        <v>0</v>
      </c>
      <c r="M12" s="311">
        <v>0</v>
      </c>
      <c r="N12" s="355"/>
    </row>
    <row r="13" spans="1:14" s="381" customFormat="1">
      <c r="A13" s="36" t="s">
        <v>286</v>
      </c>
      <c r="B13" s="264"/>
      <c r="C13" s="37" t="s">
        <v>287</v>
      </c>
      <c r="D13" s="39"/>
      <c r="E13" s="263">
        <v>0</v>
      </c>
      <c r="F13" s="309">
        <f t="shared" si="0"/>
        <v>0</v>
      </c>
      <c r="G13" s="310">
        <v>0</v>
      </c>
      <c r="H13" s="310">
        <v>0</v>
      </c>
      <c r="I13" s="310">
        <v>0</v>
      </c>
      <c r="J13" s="310">
        <v>0</v>
      </c>
      <c r="K13" s="310">
        <v>0</v>
      </c>
      <c r="L13" s="310">
        <v>0</v>
      </c>
      <c r="M13" s="311">
        <v>0</v>
      </c>
      <c r="N13" s="355"/>
    </row>
    <row r="14" spans="1:14" s="381" customFormat="1">
      <c r="A14" s="36" t="s">
        <v>286</v>
      </c>
      <c r="B14" s="264"/>
      <c r="C14" s="37" t="s">
        <v>287</v>
      </c>
      <c r="D14" s="39"/>
      <c r="E14" s="263">
        <v>0</v>
      </c>
      <c r="F14" s="309">
        <f t="shared" si="0"/>
        <v>0</v>
      </c>
      <c r="G14" s="310">
        <v>0</v>
      </c>
      <c r="H14" s="310">
        <v>0</v>
      </c>
      <c r="I14" s="310">
        <v>0</v>
      </c>
      <c r="J14" s="310">
        <v>0</v>
      </c>
      <c r="K14" s="310">
        <v>0</v>
      </c>
      <c r="L14" s="310">
        <v>0</v>
      </c>
      <c r="M14" s="311">
        <v>0</v>
      </c>
      <c r="N14" s="355"/>
    </row>
    <row r="15" spans="1:14" s="381" customFormat="1">
      <c r="A15" s="36" t="s">
        <v>286</v>
      </c>
      <c r="B15" s="265"/>
      <c r="C15" s="37" t="s">
        <v>287</v>
      </c>
      <c r="D15" s="39"/>
      <c r="E15" s="263">
        <v>0</v>
      </c>
      <c r="F15" s="309">
        <f t="shared" si="0"/>
        <v>0</v>
      </c>
      <c r="G15" s="310">
        <v>0</v>
      </c>
      <c r="H15" s="310">
        <v>0</v>
      </c>
      <c r="I15" s="310">
        <v>0</v>
      </c>
      <c r="J15" s="310">
        <v>0</v>
      </c>
      <c r="K15" s="310">
        <v>0</v>
      </c>
      <c r="L15" s="310">
        <v>0</v>
      </c>
      <c r="M15" s="311">
        <v>0</v>
      </c>
      <c r="N15" s="355"/>
    </row>
    <row r="16" spans="1:14" s="381" customFormat="1">
      <c r="A16" s="40" t="s">
        <v>288</v>
      </c>
      <c r="B16" s="265"/>
      <c r="C16" s="266"/>
      <c r="D16" s="41">
        <f t="shared" ref="D16:M16" si="1">SUM(D7:D15)</f>
        <v>0.83000000000000007</v>
      </c>
      <c r="E16" s="42">
        <f t="shared" si="1"/>
        <v>153</v>
      </c>
      <c r="F16" s="43">
        <f t="shared" si="1"/>
        <v>155</v>
      </c>
      <c r="G16" s="43">
        <f t="shared" si="1"/>
        <v>0</v>
      </c>
      <c r="H16" s="43">
        <f t="shared" si="1"/>
        <v>0</v>
      </c>
      <c r="I16" s="43">
        <f t="shared" si="1"/>
        <v>0</v>
      </c>
      <c r="J16" s="43">
        <f t="shared" si="1"/>
        <v>0</v>
      </c>
      <c r="K16" s="43">
        <f t="shared" si="1"/>
        <v>155</v>
      </c>
      <c r="L16" s="43">
        <f t="shared" si="1"/>
        <v>0</v>
      </c>
      <c r="M16" s="43">
        <f t="shared" si="1"/>
        <v>0</v>
      </c>
      <c r="N16" s="254"/>
    </row>
    <row r="17" spans="1:14" s="381" customFormat="1">
      <c r="A17" s="127" t="s">
        <v>289</v>
      </c>
      <c r="B17" s="128"/>
      <c r="C17" s="129"/>
      <c r="D17" s="128"/>
      <c r="E17" s="128"/>
      <c r="F17" s="89"/>
      <c r="G17" s="89"/>
      <c r="H17" s="89"/>
      <c r="I17" s="89"/>
      <c r="J17" s="89"/>
      <c r="K17" s="89"/>
      <c r="L17" s="89"/>
      <c r="M17" s="89"/>
      <c r="N17" s="89"/>
    </row>
    <row r="18" spans="1:14" s="381" customFormat="1" ht="133.65">
      <c r="A18" s="418" t="s">
        <v>1151</v>
      </c>
      <c r="B18" s="264" t="s">
        <v>1121</v>
      </c>
      <c r="C18" s="44">
        <v>253</v>
      </c>
      <c r="D18" s="45"/>
      <c r="E18" s="263">
        <v>55</v>
      </c>
      <c r="F18" s="357">
        <f>SUM(G18:M18)</f>
        <v>45</v>
      </c>
      <c r="G18" s="310">
        <v>0</v>
      </c>
      <c r="H18" s="310">
        <v>0</v>
      </c>
      <c r="I18" s="310">
        <v>0</v>
      </c>
      <c r="J18" s="310">
        <v>0</v>
      </c>
      <c r="K18" s="310">
        <v>45</v>
      </c>
      <c r="L18" s="310">
        <v>0</v>
      </c>
      <c r="M18" s="311">
        <v>0</v>
      </c>
      <c r="N18" s="325" t="s">
        <v>1152</v>
      </c>
    </row>
    <row r="19" spans="1:14" s="381" customFormat="1">
      <c r="A19" s="264" t="s">
        <v>379</v>
      </c>
      <c r="B19" s="264"/>
      <c r="C19" s="44">
        <v>253</v>
      </c>
      <c r="D19" s="45"/>
      <c r="E19" s="263">
        <v>0</v>
      </c>
      <c r="F19" s="357">
        <f>SUM(G19:M19)</f>
        <v>0</v>
      </c>
      <c r="G19" s="310">
        <v>0</v>
      </c>
      <c r="H19" s="310">
        <v>0</v>
      </c>
      <c r="I19" s="310">
        <v>0</v>
      </c>
      <c r="J19" s="310">
        <v>0</v>
      </c>
      <c r="K19" s="310">
        <v>0</v>
      </c>
      <c r="L19" s="310">
        <v>0</v>
      </c>
      <c r="M19" s="311">
        <v>0</v>
      </c>
      <c r="N19" s="327"/>
    </row>
    <row r="20" spans="1:14" s="381" customFormat="1" ht="44.55">
      <c r="A20" s="418" t="s">
        <v>1153</v>
      </c>
      <c r="B20" s="36" t="s">
        <v>1000</v>
      </c>
      <c r="C20" s="44">
        <v>253</v>
      </c>
      <c r="D20" s="267"/>
      <c r="E20" s="263">
        <v>55</v>
      </c>
      <c r="F20" s="357">
        <f>SUM(G20:M20)</f>
        <v>55</v>
      </c>
      <c r="G20" s="310">
        <v>0</v>
      </c>
      <c r="H20" s="310">
        <v>0</v>
      </c>
      <c r="I20" s="310">
        <v>0</v>
      </c>
      <c r="J20" s="310">
        <v>0</v>
      </c>
      <c r="K20" s="310">
        <v>55</v>
      </c>
      <c r="L20" s="310">
        <v>0</v>
      </c>
      <c r="M20" s="311">
        <v>0</v>
      </c>
      <c r="N20" s="325" t="s">
        <v>1001</v>
      </c>
    </row>
    <row r="21" spans="1:14" s="381" customFormat="1">
      <c r="A21" s="73" t="s">
        <v>384</v>
      </c>
      <c r="B21" s="264"/>
      <c r="C21" s="44">
        <v>253</v>
      </c>
      <c r="D21" s="267"/>
      <c r="E21" s="263">
        <v>0</v>
      </c>
      <c r="F21" s="357">
        <f>SUM(G21:M21)</f>
        <v>0</v>
      </c>
      <c r="G21" s="310"/>
      <c r="H21" s="310"/>
      <c r="I21" s="310"/>
      <c r="J21" s="310"/>
      <c r="K21" s="310">
        <v>0</v>
      </c>
      <c r="L21" s="310">
        <v>0</v>
      </c>
      <c r="M21" s="311">
        <v>0</v>
      </c>
      <c r="N21" s="355"/>
    </row>
    <row r="22" spans="1:14" s="358" customFormat="1" ht="60.7" customHeight="1">
      <c r="A22" s="264" t="s">
        <v>1154</v>
      </c>
      <c r="B22" s="264" t="s">
        <v>373</v>
      </c>
      <c r="C22" s="44">
        <v>253</v>
      </c>
      <c r="D22" s="267"/>
      <c r="E22" s="263">
        <v>0</v>
      </c>
      <c r="F22" s="357">
        <f>SUM(G22:M22)</f>
        <v>0</v>
      </c>
      <c r="G22" s="310">
        <v>0</v>
      </c>
      <c r="H22" s="310">
        <v>0</v>
      </c>
      <c r="I22" s="310">
        <v>0</v>
      </c>
      <c r="J22" s="310">
        <v>0</v>
      </c>
      <c r="K22" s="310">
        <v>0</v>
      </c>
      <c r="L22" s="310">
        <v>0</v>
      </c>
      <c r="M22" s="311">
        <v>0</v>
      </c>
      <c r="N22" s="327" t="s">
        <v>1155</v>
      </c>
    </row>
    <row r="23" spans="1:14" s="381" customFormat="1">
      <c r="A23" s="40" t="s">
        <v>294</v>
      </c>
      <c r="B23" s="265"/>
      <c r="C23" s="266"/>
      <c r="D23" s="267"/>
      <c r="E23" s="42">
        <f t="shared" ref="E23:M23" si="2">SUM(E18:E22)</f>
        <v>110</v>
      </c>
      <c r="F23" s="43">
        <f t="shared" si="2"/>
        <v>100</v>
      </c>
      <c r="G23" s="43">
        <f t="shared" si="2"/>
        <v>0</v>
      </c>
      <c r="H23" s="43">
        <f t="shared" si="2"/>
        <v>0</v>
      </c>
      <c r="I23" s="43">
        <f t="shared" si="2"/>
        <v>0</v>
      </c>
      <c r="J23" s="43">
        <f t="shared" si="2"/>
        <v>0</v>
      </c>
      <c r="K23" s="43">
        <f t="shared" si="2"/>
        <v>100</v>
      </c>
      <c r="L23" s="43">
        <f t="shared" si="2"/>
        <v>0</v>
      </c>
      <c r="M23" s="43">
        <f t="shared" si="2"/>
        <v>0</v>
      </c>
      <c r="N23" s="355"/>
    </row>
    <row r="24" spans="1:14" s="358" customFormat="1">
      <c r="A24" s="127" t="s">
        <v>356</v>
      </c>
      <c r="B24" s="128"/>
      <c r="C24" s="129"/>
      <c r="D24" s="128"/>
      <c r="E24" s="128"/>
      <c r="F24" s="89"/>
      <c r="G24" s="89"/>
      <c r="H24" s="89"/>
      <c r="I24" s="89"/>
      <c r="J24" s="89"/>
      <c r="K24" s="89"/>
      <c r="L24" s="89"/>
      <c r="M24" s="89"/>
      <c r="N24" s="130"/>
    </row>
    <row r="25" spans="1:14" s="381" customFormat="1">
      <c r="A25" s="264" t="s">
        <v>296</v>
      </c>
      <c r="B25" s="36"/>
      <c r="C25" s="37" t="s">
        <v>297</v>
      </c>
      <c r="D25" s="38">
        <v>0</v>
      </c>
      <c r="E25" s="263">
        <v>5</v>
      </c>
      <c r="F25" s="309">
        <f t="shared" ref="F25:F43" si="3">SUM(G25:M25)</f>
        <v>5</v>
      </c>
      <c r="G25" s="310">
        <v>0</v>
      </c>
      <c r="H25" s="310">
        <v>0</v>
      </c>
      <c r="I25" s="310">
        <v>0</v>
      </c>
      <c r="J25" s="310">
        <v>0</v>
      </c>
      <c r="K25" s="310">
        <v>5</v>
      </c>
      <c r="L25" s="310">
        <v>0</v>
      </c>
      <c r="M25" s="311">
        <v>0</v>
      </c>
      <c r="N25" s="325" t="s">
        <v>1156</v>
      </c>
    </row>
    <row r="26" spans="1:14" s="381" customFormat="1" ht="15.05" customHeight="1">
      <c r="A26" s="264" t="s">
        <v>1157</v>
      </c>
      <c r="B26" s="36"/>
      <c r="C26" s="37" t="s">
        <v>297</v>
      </c>
      <c r="D26" s="38">
        <v>0</v>
      </c>
      <c r="E26" s="263">
        <v>0</v>
      </c>
      <c r="F26" s="309">
        <f t="shared" si="3"/>
        <v>0</v>
      </c>
      <c r="G26" s="310">
        <v>0</v>
      </c>
      <c r="H26" s="310">
        <v>0</v>
      </c>
      <c r="I26" s="310">
        <v>0</v>
      </c>
      <c r="J26" s="310">
        <v>0</v>
      </c>
      <c r="K26" s="310"/>
      <c r="L26" s="310">
        <v>0</v>
      </c>
      <c r="M26" s="311">
        <v>0</v>
      </c>
      <c r="N26" s="355"/>
    </row>
    <row r="27" spans="1:14" s="381" customFormat="1">
      <c r="A27" s="264" t="s">
        <v>298</v>
      </c>
      <c r="B27" s="36"/>
      <c r="C27" s="44" t="s">
        <v>299</v>
      </c>
      <c r="D27" s="45"/>
      <c r="E27" s="263">
        <v>0</v>
      </c>
      <c r="F27" s="309">
        <f t="shared" si="3"/>
        <v>0</v>
      </c>
      <c r="G27" s="310">
        <v>0</v>
      </c>
      <c r="H27" s="310">
        <v>0</v>
      </c>
      <c r="I27" s="310">
        <v>0</v>
      </c>
      <c r="J27" s="310">
        <v>0</v>
      </c>
      <c r="K27" s="310"/>
      <c r="L27" s="310">
        <v>0</v>
      </c>
      <c r="M27" s="311">
        <v>0</v>
      </c>
      <c r="N27" s="355"/>
    </row>
    <row r="28" spans="1:14" s="381" customFormat="1">
      <c r="A28" s="264" t="s">
        <v>300</v>
      </c>
      <c r="B28" s="36"/>
      <c r="C28" s="44" t="s">
        <v>301</v>
      </c>
      <c r="D28" s="45"/>
      <c r="E28" s="263">
        <v>0</v>
      </c>
      <c r="F28" s="309">
        <f t="shared" si="3"/>
        <v>0</v>
      </c>
      <c r="G28" s="310">
        <v>0</v>
      </c>
      <c r="H28" s="310">
        <v>0</v>
      </c>
      <c r="I28" s="310">
        <v>0</v>
      </c>
      <c r="J28" s="310">
        <v>0</v>
      </c>
      <c r="K28" s="310"/>
      <c r="L28" s="310">
        <v>0</v>
      </c>
      <c r="M28" s="311">
        <v>0</v>
      </c>
      <c r="N28" s="355"/>
    </row>
    <row r="29" spans="1:14" s="381" customFormat="1">
      <c r="A29" s="264" t="s">
        <v>302</v>
      </c>
      <c r="B29" s="36"/>
      <c r="C29" s="44" t="s">
        <v>303</v>
      </c>
      <c r="D29" s="45"/>
      <c r="E29" s="263">
        <v>0</v>
      </c>
      <c r="F29" s="309">
        <f t="shared" si="3"/>
        <v>0</v>
      </c>
      <c r="G29" s="310">
        <v>0</v>
      </c>
      <c r="H29" s="310">
        <v>0</v>
      </c>
      <c r="I29" s="310">
        <v>0</v>
      </c>
      <c r="J29" s="310">
        <v>0</v>
      </c>
      <c r="K29" s="310"/>
      <c r="L29" s="310">
        <v>0</v>
      </c>
      <c r="M29" s="311">
        <v>0</v>
      </c>
      <c r="N29" s="355"/>
    </row>
    <row r="30" spans="1:14" s="381" customFormat="1">
      <c r="A30" s="264" t="s">
        <v>304</v>
      </c>
      <c r="B30" s="36"/>
      <c r="C30" s="44">
        <v>251</v>
      </c>
      <c r="D30" s="45"/>
      <c r="E30" s="263">
        <v>0</v>
      </c>
      <c r="F30" s="309">
        <f t="shared" si="3"/>
        <v>0</v>
      </c>
      <c r="G30" s="310">
        <v>0</v>
      </c>
      <c r="H30" s="310">
        <v>0</v>
      </c>
      <c r="I30" s="310">
        <v>0</v>
      </c>
      <c r="J30" s="310">
        <v>0</v>
      </c>
      <c r="K30" s="310"/>
      <c r="L30" s="310">
        <v>0</v>
      </c>
      <c r="M30" s="311">
        <v>0</v>
      </c>
      <c r="N30" s="355"/>
    </row>
    <row r="31" spans="1:14" s="381" customFormat="1" ht="74.25">
      <c r="A31" s="555" t="s">
        <v>1158</v>
      </c>
      <c r="B31" s="57" t="s">
        <v>1003</v>
      </c>
      <c r="C31" s="628">
        <v>252</v>
      </c>
      <c r="D31" s="45"/>
      <c r="E31" s="263">
        <v>316</v>
      </c>
      <c r="F31" s="309">
        <f t="shared" si="3"/>
        <v>30</v>
      </c>
      <c r="G31" s="310"/>
      <c r="H31" s="310"/>
      <c r="I31" s="310"/>
      <c r="J31" s="310"/>
      <c r="K31" s="310">
        <v>30</v>
      </c>
      <c r="L31" s="310"/>
      <c r="M31" s="311"/>
      <c r="N31" s="327" t="s">
        <v>1159</v>
      </c>
    </row>
    <row r="32" spans="1:14" s="381" customFormat="1" ht="148.44999999999999">
      <c r="A32" s="555" t="s">
        <v>1158</v>
      </c>
      <c r="B32" s="57" t="s">
        <v>1005</v>
      </c>
      <c r="C32" s="628">
        <v>252</v>
      </c>
      <c r="D32" s="45"/>
      <c r="E32" s="263">
        <v>400</v>
      </c>
      <c r="F32" s="309">
        <v>200</v>
      </c>
      <c r="G32" s="310"/>
      <c r="H32" s="310"/>
      <c r="I32" s="310"/>
      <c r="J32" s="310"/>
      <c r="K32" s="310">
        <v>200</v>
      </c>
      <c r="L32" s="310"/>
      <c r="M32" s="311"/>
      <c r="N32" s="327" t="s">
        <v>1160</v>
      </c>
    </row>
    <row r="33" spans="1:14" s="381" customFormat="1" ht="148.44999999999999">
      <c r="A33" s="555" t="s">
        <v>1161</v>
      </c>
      <c r="B33" s="57" t="s">
        <v>1162</v>
      </c>
      <c r="C33" s="628">
        <v>252</v>
      </c>
      <c r="D33" s="45"/>
      <c r="E33" s="263">
        <v>160</v>
      </c>
      <c r="F33" s="309">
        <f t="shared" si="3"/>
        <v>250</v>
      </c>
      <c r="G33" s="310"/>
      <c r="H33" s="310"/>
      <c r="I33" s="310"/>
      <c r="J33" s="310"/>
      <c r="K33" s="310">
        <v>250</v>
      </c>
      <c r="L33" s="310"/>
      <c r="M33" s="311"/>
      <c r="N33" s="327" t="s">
        <v>1163</v>
      </c>
    </row>
    <row r="34" spans="1:14" s="381" customFormat="1" ht="74.25">
      <c r="A34" s="555" t="s">
        <v>1164</v>
      </c>
      <c r="B34" s="57" t="s">
        <v>864</v>
      </c>
      <c r="C34" s="628">
        <v>252</v>
      </c>
      <c r="D34" s="45"/>
      <c r="E34" s="263">
        <v>1500</v>
      </c>
      <c r="F34" s="309">
        <f t="shared" si="3"/>
        <v>1200</v>
      </c>
      <c r="G34" s="310">
        <v>0</v>
      </c>
      <c r="H34" s="310">
        <v>0</v>
      </c>
      <c r="I34" s="310">
        <v>0</v>
      </c>
      <c r="J34" s="310">
        <v>0</v>
      </c>
      <c r="K34" s="310">
        <v>1200</v>
      </c>
      <c r="L34" s="310">
        <v>0</v>
      </c>
      <c r="M34" s="311">
        <v>0</v>
      </c>
      <c r="N34" s="327" t="s">
        <v>1165</v>
      </c>
    </row>
    <row r="35" spans="1:14" s="381" customFormat="1" ht="59.4">
      <c r="A35" s="555" t="s">
        <v>1161</v>
      </c>
      <c r="B35" s="57" t="s">
        <v>1166</v>
      </c>
      <c r="C35" s="628">
        <v>252</v>
      </c>
      <c r="D35" s="45"/>
      <c r="E35" s="263">
        <v>50</v>
      </c>
      <c r="F35" s="309">
        <f t="shared" si="3"/>
        <v>50</v>
      </c>
      <c r="G35" s="310">
        <v>0</v>
      </c>
      <c r="H35" s="310">
        <v>0</v>
      </c>
      <c r="I35" s="310">
        <v>0</v>
      </c>
      <c r="J35" s="310">
        <v>0</v>
      </c>
      <c r="K35" s="310">
        <v>50</v>
      </c>
      <c r="L35" s="310">
        <v>0</v>
      </c>
      <c r="M35" s="311">
        <v>0</v>
      </c>
      <c r="N35" s="327" t="s">
        <v>1167</v>
      </c>
    </row>
    <row r="36" spans="1:14" s="381" customFormat="1" ht="103.95">
      <c r="A36" s="555" t="s">
        <v>1018</v>
      </c>
      <c r="B36" s="57" t="s">
        <v>1168</v>
      </c>
      <c r="C36" s="628">
        <v>252</v>
      </c>
      <c r="D36" s="45"/>
      <c r="E36" s="263">
        <v>55</v>
      </c>
      <c r="F36" s="309">
        <f t="shared" si="3"/>
        <v>0</v>
      </c>
      <c r="G36" s="310">
        <v>0</v>
      </c>
      <c r="H36" s="310">
        <v>0</v>
      </c>
      <c r="I36" s="310">
        <v>0</v>
      </c>
      <c r="J36" s="310">
        <v>0</v>
      </c>
      <c r="K36" s="310">
        <v>0</v>
      </c>
      <c r="L36" s="310">
        <v>0</v>
      </c>
      <c r="M36" s="311">
        <v>0</v>
      </c>
      <c r="N36" s="327" t="s">
        <v>1169</v>
      </c>
    </row>
    <row r="37" spans="1:14" s="381" customFormat="1" ht="74.25">
      <c r="A37" s="575" t="s">
        <v>1170</v>
      </c>
      <c r="B37" s="57"/>
      <c r="C37" s="628">
        <v>252</v>
      </c>
      <c r="D37" s="45"/>
      <c r="E37" s="263">
        <v>75</v>
      </c>
      <c r="F37" s="309">
        <f t="shared" si="3"/>
        <v>75</v>
      </c>
      <c r="G37" s="310">
        <v>0</v>
      </c>
      <c r="H37" s="310">
        <v>0</v>
      </c>
      <c r="I37" s="310">
        <v>0</v>
      </c>
      <c r="J37" s="310">
        <v>0</v>
      </c>
      <c r="K37" s="310">
        <v>75</v>
      </c>
      <c r="L37" s="310">
        <v>0</v>
      </c>
      <c r="M37" s="311">
        <v>0</v>
      </c>
      <c r="N37" s="100" t="s">
        <v>1171</v>
      </c>
    </row>
    <row r="38" spans="1:14" s="381" customFormat="1">
      <c r="A38" s="264" t="s">
        <v>314</v>
      </c>
      <c r="B38" s="36"/>
      <c r="C38" s="44">
        <v>252</v>
      </c>
      <c r="D38" s="45"/>
      <c r="E38" s="263">
        <v>0</v>
      </c>
      <c r="F38" s="309">
        <f t="shared" si="3"/>
        <v>0</v>
      </c>
      <c r="G38" s="310">
        <v>0</v>
      </c>
      <c r="H38" s="310">
        <v>0</v>
      </c>
      <c r="I38" s="310">
        <v>0</v>
      </c>
      <c r="J38" s="310">
        <v>0</v>
      </c>
      <c r="K38" s="310">
        <v>0</v>
      </c>
      <c r="L38" s="310">
        <v>0</v>
      </c>
      <c r="M38" s="311">
        <v>0</v>
      </c>
      <c r="N38" s="325"/>
    </row>
    <row r="39" spans="1:14" s="381" customFormat="1">
      <c r="A39" s="264" t="s">
        <v>315</v>
      </c>
      <c r="B39" s="36"/>
      <c r="C39" s="44">
        <v>253</v>
      </c>
      <c r="D39" s="264"/>
      <c r="E39" s="263">
        <v>0</v>
      </c>
      <c r="F39" s="309">
        <f t="shared" si="3"/>
        <v>0</v>
      </c>
      <c r="G39" s="310">
        <v>0</v>
      </c>
      <c r="H39" s="310">
        <v>0</v>
      </c>
      <c r="I39" s="310">
        <v>0</v>
      </c>
      <c r="J39" s="310">
        <v>0</v>
      </c>
      <c r="K39" s="310">
        <v>0</v>
      </c>
      <c r="L39" s="310">
        <v>0</v>
      </c>
      <c r="M39" s="311">
        <v>0</v>
      </c>
      <c r="N39" s="355"/>
    </row>
    <row r="40" spans="1:14" s="381" customFormat="1">
      <c r="A40" s="264" t="s">
        <v>316</v>
      </c>
      <c r="B40" s="36"/>
      <c r="C40" s="44">
        <v>255</v>
      </c>
      <c r="D40" s="264"/>
      <c r="E40" s="263">
        <v>0</v>
      </c>
      <c r="F40" s="309">
        <f t="shared" si="3"/>
        <v>0</v>
      </c>
      <c r="G40" s="310">
        <v>0</v>
      </c>
      <c r="H40" s="310">
        <v>0</v>
      </c>
      <c r="I40" s="310">
        <v>0</v>
      </c>
      <c r="J40" s="310">
        <v>0</v>
      </c>
      <c r="K40" s="310">
        <v>0</v>
      </c>
      <c r="L40" s="310">
        <v>0</v>
      </c>
      <c r="M40" s="311">
        <v>0</v>
      </c>
      <c r="N40" s="355"/>
    </row>
    <row r="41" spans="1:14" s="381" customFormat="1">
      <c r="A41" s="264" t="s">
        <v>317</v>
      </c>
      <c r="B41" s="36"/>
      <c r="C41" s="44">
        <v>256</v>
      </c>
      <c r="D41" s="264"/>
      <c r="E41" s="263">
        <v>0</v>
      </c>
      <c r="F41" s="309">
        <f t="shared" si="3"/>
        <v>0</v>
      </c>
      <c r="G41" s="310">
        <v>0</v>
      </c>
      <c r="H41" s="310">
        <v>0</v>
      </c>
      <c r="I41" s="310">
        <v>0</v>
      </c>
      <c r="J41" s="310">
        <v>0</v>
      </c>
      <c r="K41" s="310">
        <v>0</v>
      </c>
      <c r="L41" s="310">
        <v>0</v>
      </c>
      <c r="M41" s="311">
        <v>0</v>
      </c>
      <c r="N41" s="355"/>
    </row>
    <row r="42" spans="1:14" s="381" customFormat="1">
      <c r="A42" s="264" t="s">
        <v>318</v>
      </c>
      <c r="B42" s="36"/>
      <c r="C42" s="44">
        <v>257</v>
      </c>
      <c r="D42" s="264"/>
      <c r="E42" s="263">
        <v>0</v>
      </c>
      <c r="F42" s="309">
        <f t="shared" si="3"/>
        <v>0</v>
      </c>
      <c r="G42" s="310">
        <v>0</v>
      </c>
      <c r="H42" s="310">
        <v>0</v>
      </c>
      <c r="I42" s="310">
        <v>0</v>
      </c>
      <c r="J42" s="310">
        <v>0</v>
      </c>
      <c r="K42" s="310">
        <v>0</v>
      </c>
      <c r="L42" s="310">
        <v>0</v>
      </c>
      <c r="M42" s="311">
        <v>0</v>
      </c>
      <c r="N42" s="355"/>
    </row>
    <row r="43" spans="1:14" s="381" customFormat="1">
      <c r="A43" s="264" t="s">
        <v>319</v>
      </c>
      <c r="B43" s="36"/>
      <c r="C43" s="44" t="s">
        <v>320</v>
      </c>
      <c r="D43" s="264"/>
      <c r="E43" s="263">
        <v>1</v>
      </c>
      <c r="F43" s="309">
        <f t="shared" si="3"/>
        <v>1</v>
      </c>
      <c r="G43" s="310">
        <v>0</v>
      </c>
      <c r="H43" s="310">
        <v>0</v>
      </c>
      <c r="I43" s="310">
        <v>0</v>
      </c>
      <c r="J43" s="310">
        <v>0</v>
      </c>
      <c r="K43" s="310">
        <v>1</v>
      </c>
      <c r="L43" s="310">
        <v>0</v>
      </c>
      <c r="M43" s="311">
        <v>0</v>
      </c>
      <c r="N43" s="325"/>
    </row>
    <row r="44" spans="1:14" s="381" customFormat="1">
      <c r="A44" s="265" t="s">
        <v>321</v>
      </c>
      <c r="B44" s="36"/>
      <c r="C44" s="266" t="s">
        <v>322</v>
      </c>
      <c r="D44" s="265"/>
      <c r="E44" s="263">
        <v>0</v>
      </c>
      <c r="F44" s="309">
        <f>SUM(G44:M44)</f>
        <v>0</v>
      </c>
      <c r="G44" s="310">
        <v>0</v>
      </c>
      <c r="H44" s="310">
        <v>0</v>
      </c>
      <c r="I44" s="310">
        <v>0</v>
      </c>
      <c r="J44" s="310">
        <v>0</v>
      </c>
      <c r="K44" s="310">
        <v>0</v>
      </c>
      <c r="L44" s="310">
        <v>0</v>
      </c>
      <c r="M44" s="311">
        <v>0</v>
      </c>
      <c r="N44" s="325"/>
    </row>
    <row r="45" spans="1:14" s="381" customFormat="1" ht="59.4">
      <c r="A45" s="632" t="s">
        <v>1172</v>
      </c>
      <c r="B45" s="672"/>
      <c r="C45" s="664" t="s">
        <v>324</v>
      </c>
      <c r="D45" s="632"/>
      <c r="E45" s="318">
        <v>-860</v>
      </c>
      <c r="F45" s="309">
        <f>SUM(G45:M45)</f>
        <v>-615</v>
      </c>
      <c r="G45" s="165">
        <v>0</v>
      </c>
      <c r="H45" s="165">
        <v>0</v>
      </c>
      <c r="I45" s="165">
        <v>0</v>
      </c>
      <c r="J45" s="165">
        <v>0</v>
      </c>
      <c r="K45" s="165">
        <f>1361-1951-615+590</f>
        <v>-615</v>
      </c>
      <c r="L45" s="165">
        <v>0</v>
      </c>
      <c r="M45" s="166">
        <v>0</v>
      </c>
      <c r="N45" s="633" t="s">
        <v>1173</v>
      </c>
    </row>
    <row r="46" spans="1:14" s="381" customFormat="1">
      <c r="A46" s="40" t="s">
        <v>326</v>
      </c>
      <c r="B46" s="265"/>
      <c r="C46" s="266"/>
      <c r="D46" s="267"/>
      <c r="E46" s="42">
        <f t="shared" ref="E46:M46" si="4">SUM(E25:E45)</f>
        <v>1702</v>
      </c>
      <c r="F46" s="43">
        <f t="shared" si="4"/>
        <v>1196</v>
      </c>
      <c r="G46" s="43">
        <f t="shared" si="4"/>
        <v>0</v>
      </c>
      <c r="H46" s="43">
        <f t="shared" si="4"/>
        <v>0</v>
      </c>
      <c r="I46" s="43">
        <f t="shared" si="4"/>
        <v>0</v>
      </c>
      <c r="J46" s="43">
        <f t="shared" si="4"/>
        <v>0</v>
      </c>
      <c r="K46" s="43">
        <f t="shared" si="4"/>
        <v>1196</v>
      </c>
      <c r="L46" s="43">
        <f t="shared" si="4"/>
        <v>0</v>
      </c>
      <c r="M46" s="43">
        <f t="shared" si="4"/>
        <v>0</v>
      </c>
      <c r="N46" s="355"/>
    </row>
    <row r="47" spans="1:14" s="381" customFormat="1">
      <c r="A47" s="40" t="s">
        <v>327</v>
      </c>
      <c r="B47" s="51"/>
      <c r="C47" s="149"/>
      <c r="D47" s="267"/>
      <c r="E47" s="241"/>
      <c r="F47" s="240">
        <v>0</v>
      </c>
      <c r="G47" s="240"/>
      <c r="H47" s="240">
        <v>0</v>
      </c>
      <c r="I47" s="240"/>
      <c r="J47" s="240"/>
      <c r="K47" s="240">
        <v>0</v>
      </c>
      <c r="L47" s="240"/>
      <c r="M47" s="240"/>
      <c r="N47" s="355"/>
    </row>
    <row r="48" spans="1:14" s="381" customFormat="1">
      <c r="A48" s="40" t="s">
        <v>328</v>
      </c>
      <c r="B48" s="46"/>
      <c r="C48" s="47"/>
      <c r="D48" s="48">
        <f>D46+D23+D16</f>
        <v>0.83000000000000007</v>
      </c>
      <c r="E48" s="42">
        <f t="shared" ref="E48:M48" si="5">E46+E23+E16-E47</f>
        <v>1965</v>
      </c>
      <c r="F48" s="17">
        <f t="shared" si="5"/>
        <v>1451</v>
      </c>
      <c r="G48" s="17">
        <f t="shared" si="5"/>
        <v>0</v>
      </c>
      <c r="H48" s="17">
        <f t="shared" si="5"/>
        <v>0</v>
      </c>
      <c r="I48" s="17">
        <f t="shared" si="5"/>
        <v>0</v>
      </c>
      <c r="J48" s="17">
        <f t="shared" si="5"/>
        <v>0</v>
      </c>
      <c r="K48" s="17">
        <f t="shared" si="5"/>
        <v>1451</v>
      </c>
      <c r="L48" s="17">
        <f t="shared" si="5"/>
        <v>0</v>
      </c>
      <c r="M48" s="17">
        <f t="shared" si="5"/>
        <v>0</v>
      </c>
      <c r="N48" s="353"/>
    </row>
    <row r="49" spans="1:14" s="381" customFormat="1">
      <c r="B49" s="269" t="s">
        <v>391</v>
      </c>
      <c r="C49" s="179"/>
      <c r="D49" s="180"/>
      <c r="E49" s="269">
        <f>E48-C54</f>
        <v>1850</v>
      </c>
      <c r="F49" s="269">
        <f>F48-B52</f>
        <v>1336</v>
      </c>
    </row>
    <row r="50" spans="1:14" s="381" customFormat="1">
      <c r="C50" s="687"/>
    </row>
    <row r="51" spans="1:14" s="381" customFormat="1">
      <c r="A51" s="56" t="s">
        <v>392</v>
      </c>
      <c r="B51" s="389" t="s">
        <v>393</v>
      </c>
      <c r="C51" s="31" t="s">
        <v>359</v>
      </c>
      <c r="D51" s="31"/>
      <c r="E51" s="31"/>
      <c r="F51" s="31"/>
      <c r="G51" s="31"/>
      <c r="H51" s="31"/>
      <c r="I51" s="31"/>
      <c r="J51" s="31"/>
      <c r="K51" s="31"/>
      <c r="L51" s="31"/>
      <c r="M51" s="31"/>
      <c r="N51" s="31"/>
    </row>
    <row r="52" spans="1:14" s="381" customFormat="1">
      <c r="A52" s="57" t="s">
        <v>394</v>
      </c>
      <c r="B52" s="58">
        <v>115</v>
      </c>
      <c r="C52" s="58">
        <v>115</v>
      </c>
      <c r="D52" s="31"/>
      <c r="E52" s="31"/>
      <c r="F52" s="31"/>
      <c r="G52" s="31"/>
      <c r="H52" s="181"/>
      <c r="I52" s="31"/>
      <c r="J52" s="31"/>
      <c r="K52" s="31"/>
      <c r="L52" s="31"/>
      <c r="M52" s="31"/>
      <c r="N52" s="31"/>
    </row>
    <row r="53" spans="1:14" s="381" customFormat="1">
      <c r="A53" s="264" t="s">
        <v>396</v>
      </c>
      <c r="B53" s="59">
        <v>0</v>
      </c>
      <c r="C53" s="59">
        <v>0</v>
      </c>
      <c r="D53" s="31"/>
      <c r="E53" s="31"/>
      <c r="F53" s="31"/>
      <c r="G53" s="31"/>
      <c r="H53" s="31"/>
      <c r="I53" s="31"/>
      <c r="J53" s="31"/>
      <c r="K53" s="31"/>
      <c r="L53" s="31"/>
      <c r="M53" s="31"/>
      <c r="N53" s="31"/>
    </row>
    <row r="54" spans="1:14" s="381" customFormat="1">
      <c r="A54" s="60" t="s">
        <v>784</v>
      </c>
      <c r="B54" s="61">
        <f>B52-B53</f>
        <v>115</v>
      </c>
      <c r="C54" s="61">
        <f>C52-C53</f>
        <v>115</v>
      </c>
      <c r="D54" s="31"/>
      <c r="E54" s="31"/>
      <c r="F54" s="31"/>
      <c r="G54" s="31"/>
      <c r="H54" s="31"/>
      <c r="I54" s="31"/>
      <c r="J54" s="31"/>
      <c r="K54" s="31"/>
      <c r="L54" s="31"/>
      <c r="M54" s="31"/>
      <c r="N54" s="31"/>
    </row>
    <row r="55" spans="1:14" s="381" customFormat="1" ht="31.2" customHeight="1">
      <c r="A55" s="874" t="s">
        <v>1174</v>
      </c>
      <c r="B55" s="875"/>
      <c r="C55" s="875"/>
      <c r="D55" s="31"/>
      <c r="E55" s="31"/>
      <c r="F55" s="31"/>
      <c r="G55" s="31"/>
      <c r="H55" s="31"/>
      <c r="I55" s="31"/>
      <c r="J55" s="31"/>
      <c r="K55" s="31"/>
      <c r="L55" s="31"/>
      <c r="M55" s="31"/>
      <c r="N55" s="562"/>
    </row>
    <row r="56" spans="1:14" s="381" customFormat="1" ht="15.6" thickBot="1">
      <c r="A56" s="31"/>
      <c r="B56" s="31"/>
      <c r="C56" s="32"/>
      <c r="D56" s="31"/>
      <c r="E56" s="31"/>
      <c r="F56" s="31"/>
      <c r="G56" s="31"/>
      <c r="H56" s="31"/>
      <c r="I56" s="31"/>
      <c r="J56" s="31"/>
      <c r="K56" s="31"/>
      <c r="L56" s="31"/>
      <c r="M56" s="31"/>
      <c r="N56" s="562"/>
    </row>
    <row r="57" spans="1:14" s="381" customFormat="1" ht="15.6">
      <c r="A57" s="764" t="s">
        <v>330</v>
      </c>
      <c r="B57" s="765"/>
      <c r="C57" s="765"/>
      <c r="D57" s="765"/>
      <c r="E57" s="765"/>
      <c r="F57" s="765"/>
      <c r="G57" s="581"/>
      <c r="H57" s="31"/>
      <c r="I57" s="31"/>
      <c r="J57" s="31"/>
      <c r="K57" s="31"/>
      <c r="L57" s="31"/>
      <c r="M57" s="31"/>
      <c r="N57" s="562"/>
    </row>
    <row r="58" spans="1:14" s="381" customFormat="1" ht="15.6">
      <c r="A58" s="738"/>
      <c r="B58" s="739"/>
      <c r="C58" s="739"/>
      <c r="D58" s="739"/>
      <c r="E58" s="739"/>
      <c r="F58" s="739"/>
      <c r="G58" s="582"/>
      <c r="H58" s="31"/>
      <c r="I58" s="31"/>
      <c r="J58" s="31"/>
      <c r="K58" s="31"/>
      <c r="L58" s="31"/>
      <c r="M58" s="31"/>
      <c r="N58" s="562"/>
    </row>
    <row r="59" spans="1:14" s="381" customFormat="1">
      <c r="A59" s="740" t="s">
        <v>331</v>
      </c>
      <c r="B59" s="741"/>
      <c r="C59" s="583"/>
      <c r="D59" s="583"/>
      <c r="E59" s="583"/>
      <c r="F59" s="583"/>
      <c r="G59" s="582"/>
      <c r="H59" s="31"/>
      <c r="I59" s="31"/>
      <c r="J59" s="31"/>
      <c r="K59" s="31"/>
      <c r="L59" s="31"/>
      <c r="M59" s="31"/>
      <c r="N59" s="562"/>
    </row>
    <row r="60" spans="1:14" s="381" customFormat="1">
      <c r="A60" s="584" t="s">
        <v>480</v>
      </c>
      <c r="B60" s="589">
        <f>E48</f>
        <v>1965</v>
      </c>
      <c r="C60" s="586"/>
      <c r="D60" s="587"/>
      <c r="E60" s="587"/>
      <c r="F60" s="587"/>
      <c r="G60" s="582"/>
      <c r="H60" s="31"/>
      <c r="I60" s="31"/>
      <c r="J60" s="31"/>
      <c r="K60" s="31"/>
      <c r="L60" s="31"/>
      <c r="M60" s="31"/>
      <c r="N60" s="562"/>
    </row>
    <row r="61" spans="1:14" s="381" customFormat="1">
      <c r="A61" s="588" t="s">
        <v>362</v>
      </c>
      <c r="B61" s="589">
        <f>F48</f>
        <v>1451</v>
      </c>
      <c r="C61" s="586"/>
      <c r="D61" s="587"/>
      <c r="E61" s="587"/>
      <c r="F61" s="587"/>
      <c r="G61" s="582"/>
      <c r="H61" s="31"/>
      <c r="I61" s="31"/>
      <c r="J61" s="31"/>
      <c r="K61" s="31"/>
      <c r="L61" s="31"/>
      <c r="M61" s="31"/>
      <c r="N61" s="562"/>
    </row>
    <row r="62" spans="1:14" s="381" customFormat="1">
      <c r="A62" s="590" t="s">
        <v>334</v>
      </c>
      <c r="B62" s="591">
        <f>B61-B60</f>
        <v>-514</v>
      </c>
      <c r="C62" s="586"/>
      <c r="D62" s="587"/>
      <c r="E62" s="587"/>
      <c r="F62" s="587"/>
      <c r="G62" s="582"/>
      <c r="H62" s="31"/>
      <c r="I62" s="31"/>
      <c r="J62" s="31"/>
      <c r="K62" s="31"/>
      <c r="L62" s="31"/>
      <c r="M62" s="31"/>
      <c r="N62" s="562"/>
    </row>
    <row r="63" spans="1:14" s="381" customFormat="1">
      <c r="A63" s="590" t="s">
        <v>335</v>
      </c>
      <c r="B63" s="592">
        <f>B62/B60</f>
        <v>-0.26157760814249365</v>
      </c>
      <c r="C63" s="586"/>
      <c r="D63" s="587"/>
      <c r="E63" s="587"/>
      <c r="F63" s="587"/>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731" t="s">
        <v>336</v>
      </c>
      <c r="B65" s="732"/>
      <c r="C65" s="732"/>
      <c r="D65" s="732"/>
      <c r="E65" s="732"/>
      <c r="F65" s="732"/>
      <c r="G65" s="582"/>
      <c r="H65" s="31"/>
      <c r="I65" s="31"/>
      <c r="J65" s="31"/>
      <c r="K65" s="31"/>
      <c r="L65" s="31"/>
      <c r="M65" s="31"/>
      <c r="N65" s="562"/>
    </row>
    <row r="66" spans="1:14" s="381" customFormat="1" ht="67.55" customHeight="1">
      <c r="A66" s="742" t="s">
        <v>1175</v>
      </c>
      <c r="B66" s="743"/>
      <c r="C66" s="743"/>
      <c r="D66" s="743"/>
      <c r="E66" s="743"/>
      <c r="F66" s="744"/>
      <c r="G66" s="582"/>
      <c r="H66" s="31"/>
      <c r="I66" s="31"/>
      <c r="J66" s="31"/>
      <c r="K66" s="31"/>
      <c r="L66" s="31"/>
      <c r="M66" s="31"/>
      <c r="N66" s="562"/>
    </row>
    <row r="67" spans="1:14" s="381" customFormat="1">
      <c r="A67" s="594"/>
      <c r="B67" s="595"/>
      <c r="C67" s="595"/>
      <c r="D67" s="595"/>
      <c r="E67" s="595"/>
      <c r="F67" s="595"/>
      <c r="G67" s="582"/>
      <c r="H67" s="31"/>
      <c r="I67" s="31"/>
      <c r="J67" s="31"/>
      <c r="K67" s="31"/>
      <c r="L67" s="31"/>
      <c r="M67" s="31"/>
      <c r="N67" s="562"/>
    </row>
    <row r="68" spans="1:14" s="381" customFormat="1">
      <c r="A68" s="596" t="s">
        <v>337</v>
      </c>
      <c r="B68" s="587"/>
      <c r="C68" s="686"/>
      <c r="D68" s="587"/>
      <c r="E68" s="587"/>
      <c r="F68" s="587"/>
      <c r="G68" s="582"/>
      <c r="H68" s="31"/>
      <c r="I68" s="31"/>
      <c r="J68" s="31"/>
      <c r="K68" s="31"/>
      <c r="L68" s="31"/>
      <c r="M68" s="31"/>
      <c r="N68" s="562"/>
    </row>
    <row r="69" spans="1:14" s="381" customFormat="1" ht="360.75" customHeight="1">
      <c r="A69" s="871" t="s">
        <v>1176</v>
      </c>
      <c r="B69" s="876"/>
      <c r="C69" s="876"/>
      <c r="D69" s="876"/>
      <c r="E69" s="876"/>
      <c r="F69" s="877"/>
      <c r="G69" s="582"/>
      <c r="H69" s="31"/>
      <c r="I69" s="31"/>
      <c r="J69" s="31"/>
      <c r="K69" s="31"/>
      <c r="L69" s="31"/>
      <c r="M69" s="31"/>
      <c r="N69" s="562"/>
    </row>
    <row r="70" spans="1:14" s="381" customFormat="1">
      <c r="A70" s="593"/>
      <c r="B70" s="587"/>
      <c r="C70" s="686"/>
      <c r="D70" s="587"/>
      <c r="E70" s="587"/>
      <c r="F70" s="587"/>
      <c r="G70" s="582"/>
      <c r="H70" s="31"/>
      <c r="I70" s="31"/>
      <c r="J70" s="31"/>
      <c r="K70" s="31"/>
      <c r="L70" s="31"/>
      <c r="M70" s="31"/>
      <c r="N70" s="562"/>
    </row>
    <row r="71" spans="1:14" s="381" customFormat="1">
      <c r="A71" s="731" t="s">
        <v>365</v>
      </c>
      <c r="B71" s="732"/>
      <c r="C71" s="732"/>
      <c r="D71" s="732"/>
      <c r="E71" s="732"/>
      <c r="F71" s="732"/>
      <c r="G71" s="582"/>
      <c r="H71" s="31"/>
      <c r="I71" s="31"/>
      <c r="J71" s="31"/>
      <c r="K71" s="31"/>
      <c r="L71" s="31"/>
      <c r="M71" s="31"/>
      <c r="N71" s="562"/>
    </row>
    <row r="72" spans="1:14" s="381" customFormat="1">
      <c r="A72" s="733" t="s">
        <v>339</v>
      </c>
      <c r="B72" s="734"/>
      <c r="C72" s="734"/>
      <c r="D72" s="734"/>
      <c r="E72" s="734"/>
      <c r="F72" s="734"/>
      <c r="G72" s="582"/>
      <c r="H72" s="31"/>
      <c r="I72" s="31"/>
      <c r="J72" s="31"/>
      <c r="K72" s="31"/>
      <c r="L72" s="31"/>
      <c r="M72" s="31"/>
      <c r="N72" s="562"/>
    </row>
    <row r="73" spans="1:14" s="381" customFormat="1" ht="185.6" customHeight="1">
      <c r="A73" s="742" t="s">
        <v>1177</v>
      </c>
      <c r="B73" s="736"/>
      <c r="C73" s="736"/>
      <c r="D73" s="736"/>
      <c r="E73" s="736"/>
      <c r="F73" s="737"/>
      <c r="G73" s="582"/>
      <c r="H73" s="31"/>
      <c r="I73" s="31"/>
      <c r="J73" s="31"/>
      <c r="K73" s="31"/>
      <c r="L73" s="31"/>
      <c r="M73" s="31"/>
      <c r="N73" s="562"/>
    </row>
    <row r="74" spans="1:14" s="381" customFormat="1">
      <c r="A74" s="596"/>
      <c r="B74" s="587"/>
      <c r="C74" s="686"/>
      <c r="D74" s="587"/>
      <c r="E74" s="587"/>
      <c r="F74" s="587"/>
      <c r="G74" s="582"/>
      <c r="H74" s="31"/>
      <c r="I74" s="31"/>
      <c r="J74" s="31"/>
      <c r="K74" s="31"/>
      <c r="L74" s="31"/>
      <c r="M74" s="31"/>
      <c r="N74" s="562"/>
    </row>
    <row r="75" spans="1:14" s="381" customFormat="1">
      <c r="A75" s="731" t="s">
        <v>340</v>
      </c>
      <c r="B75" s="732"/>
      <c r="C75" s="732"/>
      <c r="D75" s="732"/>
      <c r="E75" s="685"/>
      <c r="F75" s="587"/>
      <c r="G75" s="582"/>
      <c r="H75" s="31"/>
      <c r="I75" s="31"/>
      <c r="J75" s="31"/>
      <c r="K75" s="31"/>
      <c r="L75" s="31"/>
      <c r="M75" s="31"/>
      <c r="N75" s="562"/>
    </row>
    <row r="76" spans="1:14" s="381" customFormat="1" ht="95.05" customHeight="1">
      <c r="A76" s="766" t="s">
        <v>1178</v>
      </c>
      <c r="B76" s="729"/>
      <c r="C76" s="729"/>
      <c r="D76" s="729"/>
      <c r="E76" s="729"/>
      <c r="F76" s="730"/>
      <c r="G76" s="582"/>
      <c r="H76" s="31"/>
      <c r="I76" s="31"/>
      <c r="J76" s="31"/>
      <c r="K76" s="31"/>
      <c r="L76" s="31"/>
      <c r="M76" s="31"/>
      <c r="N76" s="562"/>
    </row>
    <row r="77" spans="1:14" s="381" customFormat="1">
      <c r="A77" s="593"/>
      <c r="B77" s="587"/>
      <c r="C77" s="686"/>
      <c r="D77" s="587"/>
      <c r="E77" s="587"/>
      <c r="F77" s="587"/>
      <c r="G77" s="582"/>
      <c r="H77" s="31"/>
      <c r="I77" s="31"/>
      <c r="J77" s="31"/>
      <c r="K77" s="31"/>
      <c r="L77" s="31"/>
      <c r="M77" s="31"/>
      <c r="N77" s="562"/>
    </row>
    <row r="78" spans="1:14" s="381" customFormat="1">
      <c r="A78" s="596" t="s">
        <v>341</v>
      </c>
      <c r="B78" s="587"/>
      <c r="C78" s="686"/>
      <c r="D78" s="587"/>
      <c r="E78" s="587"/>
      <c r="F78" s="587"/>
      <c r="G78" s="582"/>
      <c r="H78" s="31"/>
      <c r="I78" s="31"/>
      <c r="J78" s="31"/>
      <c r="K78" s="31"/>
      <c r="L78" s="31"/>
      <c r="M78" s="31"/>
      <c r="N78" s="562"/>
    </row>
    <row r="79" spans="1:14" s="381" customFormat="1">
      <c r="A79" s="597" t="s">
        <v>342</v>
      </c>
      <c r="B79" s="587"/>
      <c r="C79" s="686"/>
      <c r="D79" s="587"/>
      <c r="E79" s="587"/>
      <c r="F79" s="587"/>
      <c r="G79" s="582"/>
      <c r="H79" s="31"/>
      <c r="I79" s="31"/>
      <c r="J79" s="31"/>
      <c r="K79" s="31"/>
      <c r="L79" s="31"/>
      <c r="M79" s="31"/>
      <c r="N79" s="562"/>
    </row>
    <row r="80" spans="1:14" s="381" customFormat="1" ht="26.2" customHeight="1">
      <c r="A80" s="719" t="s">
        <v>343</v>
      </c>
      <c r="B80" s="720"/>
      <c r="C80" s="720"/>
      <c r="D80" s="720"/>
      <c r="E80" s="720"/>
      <c r="F80" s="720"/>
      <c r="G80" s="582"/>
      <c r="H80" s="31"/>
      <c r="I80" s="31"/>
      <c r="J80" s="31"/>
      <c r="K80" s="31"/>
      <c r="L80" s="31"/>
      <c r="M80" s="31"/>
      <c r="N80" s="562"/>
    </row>
    <row r="81" spans="1:14" s="381" customFormat="1" ht="149.19999999999999" customHeight="1">
      <c r="A81" s="742" t="s">
        <v>1179</v>
      </c>
      <c r="B81" s="722"/>
      <c r="C81" s="722"/>
      <c r="D81" s="722"/>
      <c r="E81" s="722"/>
      <c r="F81" s="723"/>
      <c r="G81" s="582"/>
      <c r="H81" s="31"/>
      <c r="I81" s="31"/>
      <c r="J81" s="31"/>
      <c r="K81" s="31"/>
      <c r="L81" s="31"/>
      <c r="M81" s="31"/>
      <c r="N81" s="562"/>
    </row>
    <row r="82" spans="1:14" s="381" customFormat="1">
      <c r="A82" s="724"/>
      <c r="B82" s="725"/>
      <c r="C82" s="725"/>
      <c r="D82" s="725"/>
      <c r="E82" s="725"/>
      <c r="F82" s="725"/>
      <c r="G82" s="582"/>
      <c r="H82" s="31"/>
      <c r="I82" s="31"/>
      <c r="J82" s="31"/>
      <c r="K82" s="31"/>
      <c r="L82" s="31"/>
      <c r="M82" s="31"/>
      <c r="N82" s="562"/>
    </row>
    <row r="83" spans="1:14" s="381" customFormat="1">
      <c r="A83" s="597" t="s">
        <v>344</v>
      </c>
      <c r="B83" s="587"/>
      <c r="C83" s="686"/>
      <c r="D83" s="587"/>
      <c r="E83" s="587"/>
      <c r="F83" s="587"/>
      <c r="G83" s="582"/>
      <c r="H83" s="31"/>
      <c r="I83" s="31"/>
      <c r="J83" s="31"/>
      <c r="K83" s="31"/>
      <c r="L83" s="31"/>
      <c r="M83" s="31"/>
      <c r="N83" s="562"/>
    </row>
    <row r="84" spans="1:14" s="381" customFormat="1" ht="39.35" customHeight="1">
      <c r="A84" s="726" t="s">
        <v>345</v>
      </c>
      <c r="B84" s="727"/>
      <c r="C84" s="727"/>
      <c r="D84" s="727"/>
      <c r="E84" s="727"/>
      <c r="F84" s="727"/>
      <c r="G84" s="582"/>
      <c r="H84" s="31"/>
      <c r="I84" s="31"/>
      <c r="J84" s="31"/>
      <c r="K84" s="31"/>
      <c r="L84" s="31"/>
      <c r="M84" s="31"/>
      <c r="N84" s="562"/>
    </row>
    <row r="85" spans="1:14" s="381" customFormat="1" ht="158.1" customHeight="1">
      <c r="A85" s="766" t="s">
        <v>1180</v>
      </c>
      <c r="B85" s="729"/>
      <c r="C85" s="729"/>
      <c r="D85" s="729"/>
      <c r="E85" s="729"/>
      <c r="F85" s="730"/>
      <c r="G85" s="582"/>
      <c r="H85" s="31"/>
      <c r="I85" s="31"/>
      <c r="J85" s="31"/>
      <c r="K85" s="31"/>
      <c r="L85" s="31"/>
      <c r="M85" s="31"/>
      <c r="N85" s="562"/>
    </row>
    <row r="86" spans="1:14" s="381" customFormat="1" ht="15.6" thickBot="1">
      <c r="A86" s="598"/>
      <c r="B86" s="599"/>
      <c r="C86" s="600"/>
      <c r="D86" s="599"/>
      <c r="E86" s="599"/>
      <c r="F86" s="599"/>
      <c r="G86" s="601"/>
      <c r="H86" s="31"/>
      <c r="I86" s="31"/>
      <c r="J86" s="31"/>
      <c r="K86" s="31"/>
      <c r="L86" s="31"/>
      <c r="M86" s="31"/>
      <c r="N86" s="562"/>
    </row>
    <row r="87" spans="1:14" s="381" customFormat="1">
      <c r="A87" s="31"/>
      <c r="B87" s="31"/>
      <c r="C87" s="32"/>
      <c r="D87" s="31"/>
      <c r="E87" s="31"/>
      <c r="F87" s="31"/>
      <c r="G87" s="31"/>
      <c r="H87" s="31"/>
      <c r="I87" s="31"/>
      <c r="J87" s="31"/>
      <c r="K87" s="31"/>
      <c r="L87" s="31"/>
      <c r="M87" s="31"/>
      <c r="N87" s="562"/>
    </row>
  </sheetData>
  <mergeCells count="18">
    <mergeCell ref="A1:N1"/>
    <mergeCell ref="A55:C55"/>
    <mergeCell ref="A57:F57"/>
    <mergeCell ref="A58:F58"/>
    <mergeCell ref="A59:B59"/>
    <mergeCell ref="A65:F65"/>
    <mergeCell ref="A66:F66"/>
    <mergeCell ref="A69:F69"/>
    <mergeCell ref="A71:F71"/>
    <mergeCell ref="A72:F72"/>
    <mergeCell ref="A82:F82"/>
    <mergeCell ref="A84:F84"/>
    <mergeCell ref="A85:F85"/>
    <mergeCell ref="A73:F73"/>
    <mergeCell ref="A75:D75"/>
    <mergeCell ref="A76:F76"/>
    <mergeCell ref="A80:F80"/>
    <mergeCell ref="A81:F81"/>
  </mergeCells>
  <printOptions horizontalCentered="1"/>
  <pageMargins left="0.2" right="0.2" top="0.75" bottom="0.75" header="0.3" footer="0.3"/>
  <pageSetup scale="68" fitToHeight="0" orientation="landscape" r:id="rId1"/>
  <headerFooter>
    <oddHeader xml:space="preserve">&amp;CDRAFT NOT FOR DISTRIBUTION, INTERNAL USE ONLY
</oddHead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2" tint="-0.249977111117893"/>
    <pageSetUpPr fitToPage="1"/>
  </sheetPr>
  <dimension ref="A1:N74"/>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23.42578125" customWidth="1"/>
  </cols>
  <sheetData>
    <row r="1" spans="1:14" ht="15.6">
      <c r="A1" s="745" t="s">
        <v>227</v>
      </c>
      <c r="B1" s="745"/>
      <c r="C1" s="745"/>
      <c r="D1" s="745"/>
      <c r="E1" s="745"/>
      <c r="F1" s="745"/>
      <c r="G1" s="745"/>
      <c r="H1" s="745"/>
      <c r="I1" s="745"/>
      <c r="J1" s="745"/>
      <c r="K1" s="745"/>
      <c r="L1" s="745"/>
      <c r="M1" s="745"/>
      <c r="N1" s="745"/>
    </row>
    <row r="2" spans="1:14">
      <c r="A2" s="65" t="s">
        <v>237</v>
      </c>
      <c r="B2" s="381"/>
      <c r="C2" s="687"/>
      <c r="D2" s="381"/>
      <c r="E2" s="381"/>
      <c r="F2" s="381"/>
      <c r="G2" s="381"/>
      <c r="H2" s="381"/>
      <c r="I2" s="381"/>
      <c r="J2" s="381"/>
      <c r="K2" s="381"/>
      <c r="L2" s="381"/>
      <c r="M2" s="381"/>
      <c r="N2" s="381"/>
    </row>
    <row r="3" spans="1:14">
      <c r="A3" s="68" t="s">
        <v>943</v>
      </c>
      <c r="B3" s="381"/>
      <c r="C3" s="687"/>
      <c r="D3" s="381"/>
      <c r="E3" s="381"/>
      <c r="F3" s="554" t="s">
        <v>275</v>
      </c>
      <c r="G3" s="381"/>
      <c r="H3" s="381"/>
      <c r="I3" s="381"/>
      <c r="J3" s="381"/>
      <c r="K3" s="381"/>
      <c r="L3" s="381"/>
      <c r="M3" s="381"/>
      <c r="N3" s="381"/>
    </row>
    <row r="4" spans="1:14">
      <c r="A4" s="68" t="s">
        <v>1181</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N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43">
        <f t="shared" si="1"/>
        <v>0</v>
      </c>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f>SUM(G18:M18)</f>
        <v>0</v>
      </c>
      <c r="G18" s="310">
        <v>0</v>
      </c>
      <c r="H18" s="310">
        <v>0</v>
      </c>
      <c r="I18" s="310">
        <v>0</v>
      </c>
      <c r="J18" s="310">
        <v>0</v>
      </c>
      <c r="K18" s="310">
        <v>0</v>
      </c>
      <c r="L18" s="310">
        <v>0</v>
      </c>
      <c r="M18" s="311">
        <v>0</v>
      </c>
      <c r="N18" s="327"/>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7"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2">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7" customFormat="1">
      <c r="A23" s="69" t="s">
        <v>295</v>
      </c>
      <c r="B23" s="70"/>
      <c r="C23" s="71"/>
      <c r="D23" s="70"/>
      <c r="E23" s="70"/>
      <c r="F23" s="72"/>
      <c r="G23" s="72"/>
      <c r="H23" s="72"/>
      <c r="I23" s="72"/>
      <c r="J23" s="72"/>
      <c r="K23" s="72"/>
      <c r="L23" s="72"/>
      <c r="M23" s="72"/>
      <c r="N23" s="72"/>
    </row>
    <row r="24" spans="1:14" ht="15.05" customHeight="1">
      <c r="A24" s="264" t="s">
        <v>296</v>
      </c>
      <c r="B24" s="36"/>
      <c r="C24" s="37" t="s">
        <v>297</v>
      </c>
      <c r="D24" s="38">
        <v>0</v>
      </c>
      <c r="E24" s="263">
        <v>0</v>
      </c>
      <c r="F24" s="309">
        <f t="shared" ref="F24:F35" si="3">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75.75" customHeight="1">
      <c r="A28" s="264" t="s">
        <v>304</v>
      </c>
      <c r="B28" s="36"/>
      <c r="C28" s="44">
        <v>251</v>
      </c>
      <c r="D28" s="45"/>
      <c r="E28" s="263">
        <v>68</v>
      </c>
      <c r="F28" s="309">
        <f t="shared" si="3"/>
        <v>29</v>
      </c>
      <c r="G28" s="310">
        <v>0</v>
      </c>
      <c r="H28" s="310">
        <v>29</v>
      </c>
      <c r="I28" s="310">
        <v>0</v>
      </c>
      <c r="J28" s="310">
        <v>0</v>
      </c>
      <c r="K28" s="310">
        <v>0</v>
      </c>
      <c r="L28" s="310">
        <v>0</v>
      </c>
      <c r="M28" s="311">
        <v>0</v>
      </c>
      <c r="N28" s="419" t="s">
        <v>1182</v>
      </c>
    </row>
    <row r="29" spans="1:14">
      <c r="A29" s="264" t="s">
        <v>313</v>
      </c>
      <c r="B29" s="36"/>
      <c r="C29" s="44">
        <v>252</v>
      </c>
      <c r="D29" s="45"/>
      <c r="E29" s="263">
        <v>0</v>
      </c>
      <c r="F29" s="309">
        <f t="shared" si="3"/>
        <v>0</v>
      </c>
      <c r="G29" s="310">
        <v>0</v>
      </c>
      <c r="H29" s="383">
        <v>0</v>
      </c>
      <c r="I29" s="310">
        <v>0</v>
      </c>
      <c r="J29" s="310">
        <v>0</v>
      </c>
      <c r="K29" s="310">
        <v>0</v>
      </c>
      <c r="L29" s="310">
        <v>0</v>
      </c>
      <c r="M29" s="311">
        <v>0</v>
      </c>
      <c r="N29" s="355" t="s">
        <v>804</v>
      </c>
    </row>
    <row r="30" spans="1:14">
      <c r="A30" s="264" t="s">
        <v>314</v>
      </c>
      <c r="B30" s="36"/>
      <c r="C30" s="44">
        <v>252</v>
      </c>
      <c r="D30" s="45"/>
      <c r="E30" s="263">
        <v>0</v>
      </c>
      <c r="F30" s="309">
        <f t="shared" si="3"/>
        <v>0</v>
      </c>
      <c r="G30" s="310">
        <v>0</v>
      </c>
      <c r="H30" s="383">
        <v>0</v>
      </c>
      <c r="I30" s="310">
        <v>0</v>
      </c>
      <c r="J30" s="310">
        <v>0</v>
      </c>
      <c r="K30" s="310">
        <v>0</v>
      </c>
      <c r="L30" s="310">
        <v>0</v>
      </c>
      <c r="M30" s="311">
        <v>0</v>
      </c>
      <c r="N30" s="355"/>
    </row>
    <row r="31" spans="1:14">
      <c r="A31" s="264" t="s">
        <v>315</v>
      </c>
      <c r="B31" s="36"/>
      <c r="C31" s="44">
        <v>253</v>
      </c>
      <c r="D31" s="264"/>
      <c r="E31" s="263">
        <v>0</v>
      </c>
      <c r="F31" s="309">
        <f t="shared" si="3"/>
        <v>0</v>
      </c>
      <c r="G31" s="310">
        <v>0</v>
      </c>
      <c r="H31" s="383">
        <v>0</v>
      </c>
      <c r="I31" s="310">
        <v>0</v>
      </c>
      <c r="J31" s="310">
        <v>0</v>
      </c>
      <c r="K31" s="310">
        <v>0</v>
      </c>
      <c r="L31" s="310">
        <v>0</v>
      </c>
      <c r="M31" s="311">
        <v>0</v>
      </c>
      <c r="N31" s="355"/>
    </row>
    <row r="32" spans="1:14">
      <c r="A32" s="264" t="s">
        <v>316</v>
      </c>
      <c r="B32" s="36"/>
      <c r="C32" s="44">
        <v>255</v>
      </c>
      <c r="D32" s="264"/>
      <c r="E32" s="263">
        <v>0</v>
      </c>
      <c r="F32" s="309">
        <f t="shared" si="3"/>
        <v>0</v>
      </c>
      <c r="G32" s="310">
        <v>0</v>
      </c>
      <c r="H32" s="383">
        <v>0</v>
      </c>
      <c r="I32" s="310">
        <v>0</v>
      </c>
      <c r="J32" s="310">
        <v>0</v>
      </c>
      <c r="K32" s="310">
        <v>0</v>
      </c>
      <c r="L32" s="310">
        <v>0</v>
      </c>
      <c r="M32" s="311">
        <v>0</v>
      </c>
      <c r="N32" s="355"/>
    </row>
    <row r="33" spans="1:14">
      <c r="A33" s="264" t="s">
        <v>317</v>
      </c>
      <c r="B33" s="36"/>
      <c r="C33" s="44">
        <v>256</v>
      </c>
      <c r="D33" s="264"/>
      <c r="E33" s="263">
        <v>0</v>
      </c>
      <c r="F33" s="309">
        <f t="shared" si="3"/>
        <v>0</v>
      </c>
      <c r="G33" s="310">
        <v>0</v>
      </c>
      <c r="H33" s="383">
        <v>0</v>
      </c>
      <c r="I33" s="310">
        <v>0</v>
      </c>
      <c r="J33" s="310">
        <v>0</v>
      </c>
      <c r="K33" s="310">
        <v>0</v>
      </c>
      <c r="L33" s="310">
        <v>0</v>
      </c>
      <c r="M33" s="311">
        <v>0</v>
      </c>
      <c r="N33" s="355"/>
    </row>
    <row r="34" spans="1:14" ht="44.55">
      <c r="A34" s="264" t="s">
        <v>318</v>
      </c>
      <c r="B34" s="36"/>
      <c r="C34" s="44">
        <v>257</v>
      </c>
      <c r="D34" s="264"/>
      <c r="E34" s="263">
        <v>13</v>
      </c>
      <c r="F34" s="309">
        <f t="shared" si="3"/>
        <v>14</v>
      </c>
      <c r="G34" s="310">
        <v>0</v>
      </c>
      <c r="H34" s="310">
        <v>14</v>
      </c>
      <c r="I34" s="310">
        <v>0</v>
      </c>
      <c r="J34" s="310">
        <v>0</v>
      </c>
      <c r="K34" s="310">
        <v>0</v>
      </c>
      <c r="L34" s="310">
        <v>0</v>
      </c>
      <c r="M34" s="311">
        <v>0</v>
      </c>
      <c r="N34" s="325" t="s">
        <v>946</v>
      </c>
    </row>
    <row r="35" spans="1:14">
      <c r="A35" s="264" t="s">
        <v>319</v>
      </c>
      <c r="B35" s="36"/>
      <c r="C35" s="44" t="s">
        <v>320</v>
      </c>
      <c r="D35" s="264"/>
      <c r="E35" s="263">
        <v>0</v>
      </c>
      <c r="F35" s="309">
        <f t="shared" si="3"/>
        <v>0</v>
      </c>
      <c r="G35" s="310">
        <v>0</v>
      </c>
      <c r="H35" s="310">
        <v>0</v>
      </c>
      <c r="I35" s="310">
        <v>0</v>
      </c>
      <c r="J35" s="310">
        <v>0</v>
      </c>
      <c r="K35" s="310">
        <v>0</v>
      </c>
      <c r="L35" s="310">
        <v>0</v>
      </c>
      <c r="M35" s="311">
        <v>0</v>
      </c>
      <c r="N35" s="355"/>
    </row>
    <row r="36" spans="1:14" s="381" customFormat="1">
      <c r="A36" s="265" t="s">
        <v>321</v>
      </c>
      <c r="B36" s="36"/>
      <c r="C36" s="266" t="s">
        <v>322</v>
      </c>
      <c r="D36" s="265"/>
      <c r="E36" s="263">
        <v>0</v>
      </c>
      <c r="F36" s="309">
        <f>SUM(G36:M36)</f>
        <v>0</v>
      </c>
      <c r="G36" s="310">
        <v>0</v>
      </c>
      <c r="H36" s="310">
        <v>0</v>
      </c>
      <c r="I36" s="310">
        <v>0</v>
      </c>
      <c r="J36" s="310">
        <v>0</v>
      </c>
      <c r="K36" s="310">
        <v>0</v>
      </c>
      <c r="L36" s="310">
        <v>0</v>
      </c>
      <c r="M36" s="311">
        <v>0</v>
      </c>
      <c r="N36" s="355"/>
    </row>
    <row r="37" spans="1:14">
      <c r="A37" s="265" t="s">
        <v>323</v>
      </c>
      <c r="B37" s="390"/>
      <c r="C37" s="266" t="s">
        <v>324</v>
      </c>
      <c r="D37" s="265"/>
      <c r="E37" s="318">
        <v>0</v>
      </c>
      <c r="F37" s="309">
        <f>SUM(G37:M37)</f>
        <v>0</v>
      </c>
      <c r="G37" s="165">
        <v>0</v>
      </c>
      <c r="H37" s="165">
        <v>0</v>
      </c>
      <c r="I37" s="165">
        <v>0</v>
      </c>
      <c r="J37" s="165">
        <v>0</v>
      </c>
      <c r="K37" s="165">
        <v>0</v>
      </c>
      <c r="L37" s="165">
        <v>0</v>
      </c>
      <c r="M37" s="166">
        <v>0</v>
      </c>
      <c r="N37" s="325"/>
    </row>
    <row r="38" spans="1:14">
      <c r="A38" s="40" t="s">
        <v>326</v>
      </c>
      <c r="B38" s="265"/>
      <c r="C38" s="266"/>
      <c r="D38" s="267"/>
      <c r="E38" s="42">
        <f t="shared" ref="E38:M38" si="4">SUM(E24:E37)</f>
        <v>81</v>
      </c>
      <c r="F38" s="43">
        <f t="shared" si="4"/>
        <v>43</v>
      </c>
      <c r="G38" s="43">
        <f t="shared" si="4"/>
        <v>0</v>
      </c>
      <c r="H38" s="43">
        <f t="shared" si="4"/>
        <v>43</v>
      </c>
      <c r="I38" s="43">
        <f t="shared" si="4"/>
        <v>0</v>
      </c>
      <c r="J38" s="43">
        <f t="shared" si="4"/>
        <v>0</v>
      </c>
      <c r="K38" s="43">
        <f t="shared" si="4"/>
        <v>0</v>
      </c>
      <c r="L38" s="43">
        <f t="shared" si="4"/>
        <v>0</v>
      </c>
      <c r="M38" s="43">
        <f t="shared" si="4"/>
        <v>0</v>
      </c>
      <c r="N38" s="355"/>
    </row>
    <row r="39" spans="1:14" s="151" customFormat="1">
      <c r="A39" s="40" t="s">
        <v>327</v>
      </c>
      <c r="B39" s="51"/>
      <c r="C39" s="149"/>
      <c r="D39" s="267"/>
      <c r="E39" s="241"/>
      <c r="F39" s="240">
        <f>SUM(G39:L39)</f>
        <v>0</v>
      </c>
      <c r="G39" s="240"/>
      <c r="H39" s="240"/>
      <c r="I39" s="240"/>
      <c r="J39" s="240"/>
      <c r="K39" s="240"/>
      <c r="L39" s="240"/>
      <c r="M39" s="240"/>
      <c r="N39" s="355"/>
    </row>
    <row r="40" spans="1:14">
      <c r="A40" s="40" t="s">
        <v>328</v>
      </c>
      <c r="B40" s="46"/>
      <c r="C40" s="47"/>
      <c r="D40" s="48">
        <f>D38+D22+D16</f>
        <v>0</v>
      </c>
      <c r="E40" s="42">
        <f>E38+E22+E16-E39</f>
        <v>81</v>
      </c>
      <c r="F40" s="17">
        <f t="shared" ref="F40:M40" si="5">F38+F22+F16-F39</f>
        <v>43</v>
      </c>
      <c r="G40" s="17">
        <f t="shared" si="5"/>
        <v>0</v>
      </c>
      <c r="H40" s="17">
        <f t="shared" si="5"/>
        <v>43</v>
      </c>
      <c r="I40" s="17">
        <f t="shared" si="5"/>
        <v>0</v>
      </c>
      <c r="J40" s="17">
        <f t="shared" si="5"/>
        <v>0</v>
      </c>
      <c r="K40" s="17">
        <f t="shared" si="5"/>
        <v>0</v>
      </c>
      <c r="L40" s="17">
        <f t="shared" si="5"/>
        <v>0</v>
      </c>
      <c r="M40" s="17">
        <f t="shared" si="5"/>
        <v>0</v>
      </c>
      <c r="N40" s="353"/>
    </row>
    <row r="43" spans="1:14" s="381" customFormat="1" ht="15.6" thickBot="1">
      <c r="A43" s="31"/>
      <c r="B43" s="31"/>
      <c r="C43" s="32"/>
      <c r="D43" s="31"/>
      <c r="E43" s="31"/>
      <c r="F43" s="31"/>
      <c r="G43" s="31"/>
      <c r="H43" s="31"/>
      <c r="I43" s="31"/>
      <c r="J43" s="31"/>
      <c r="K43" s="31"/>
      <c r="L43" s="31"/>
      <c r="M43" s="31"/>
      <c r="N43" s="562"/>
    </row>
    <row r="44" spans="1:14" s="381" customFormat="1" ht="15.6">
      <c r="A44" s="764" t="s">
        <v>330</v>
      </c>
      <c r="B44" s="765"/>
      <c r="C44" s="765"/>
      <c r="D44" s="765"/>
      <c r="E44" s="765"/>
      <c r="F44" s="765"/>
      <c r="G44" s="581"/>
      <c r="H44" s="31"/>
      <c r="I44" s="31"/>
      <c r="J44" s="31"/>
      <c r="K44" s="31"/>
      <c r="L44" s="31"/>
      <c r="M44" s="31"/>
      <c r="N44" s="562"/>
    </row>
    <row r="45" spans="1:14" s="381" customFormat="1" ht="15.6">
      <c r="A45" s="738"/>
      <c r="B45" s="739"/>
      <c r="C45" s="739"/>
      <c r="D45" s="739"/>
      <c r="E45" s="739"/>
      <c r="F45" s="739"/>
      <c r="G45" s="582"/>
      <c r="H45" s="31"/>
      <c r="I45" s="31"/>
      <c r="J45" s="31"/>
      <c r="K45" s="31"/>
      <c r="L45" s="31"/>
      <c r="M45" s="31"/>
      <c r="N45" s="562"/>
    </row>
    <row r="46" spans="1:14" s="381" customFormat="1">
      <c r="A46" s="740" t="s">
        <v>331</v>
      </c>
      <c r="B46" s="741"/>
      <c r="C46" s="583"/>
      <c r="D46" s="583"/>
      <c r="E46" s="583"/>
      <c r="F46" s="583"/>
      <c r="G46" s="582"/>
      <c r="H46" s="31"/>
      <c r="I46" s="31"/>
      <c r="J46" s="31"/>
      <c r="K46" s="31"/>
      <c r="L46" s="31"/>
      <c r="M46" s="31"/>
      <c r="N46" s="562"/>
    </row>
    <row r="47" spans="1:14" s="381" customFormat="1">
      <c r="A47" s="584" t="s">
        <v>361</v>
      </c>
      <c r="B47" s="585">
        <f>E40</f>
        <v>81</v>
      </c>
      <c r="C47" s="586"/>
      <c r="D47" s="587"/>
      <c r="E47" s="587"/>
      <c r="F47" s="587"/>
      <c r="G47" s="582"/>
      <c r="H47" s="31"/>
      <c r="I47" s="31"/>
      <c r="J47" s="31"/>
      <c r="K47" s="31"/>
      <c r="L47" s="31"/>
      <c r="M47" s="31"/>
      <c r="N47" s="562"/>
    </row>
    <row r="48" spans="1:14" s="381" customFormat="1">
      <c r="A48" s="588" t="s">
        <v>362</v>
      </c>
      <c r="B48" s="589">
        <f>F40</f>
        <v>43</v>
      </c>
      <c r="C48" s="586"/>
      <c r="D48" s="587"/>
      <c r="E48" s="587"/>
      <c r="F48" s="587"/>
      <c r="G48" s="582"/>
      <c r="H48" s="31"/>
      <c r="I48" s="31"/>
      <c r="J48" s="31"/>
      <c r="K48" s="31"/>
      <c r="L48" s="31"/>
      <c r="M48" s="31"/>
      <c r="N48" s="562"/>
    </row>
    <row r="49" spans="1:14" s="381" customFormat="1">
      <c r="A49" s="590" t="s">
        <v>334</v>
      </c>
      <c r="B49" s="591">
        <f>B48-B47</f>
        <v>-38</v>
      </c>
      <c r="C49" s="586"/>
      <c r="D49" s="587"/>
      <c r="E49" s="587"/>
      <c r="F49" s="587"/>
      <c r="G49" s="582"/>
      <c r="H49" s="31"/>
      <c r="I49" s="31"/>
      <c r="J49" s="31"/>
      <c r="K49" s="31"/>
      <c r="L49" s="31"/>
      <c r="M49" s="31"/>
      <c r="N49" s="562"/>
    </row>
    <row r="50" spans="1:14" s="381" customFormat="1">
      <c r="A50" s="590" t="s">
        <v>335</v>
      </c>
      <c r="B50" s="592">
        <f>B49/B47</f>
        <v>-0.46913580246913578</v>
      </c>
      <c r="C50" s="586"/>
      <c r="D50" s="587"/>
      <c r="E50" s="587"/>
      <c r="F50" s="587"/>
      <c r="G50" s="582"/>
      <c r="H50" s="31"/>
      <c r="I50" s="31"/>
      <c r="J50" s="31"/>
      <c r="K50" s="31"/>
      <c r="L50" s="31"/>
      <c r="M50" s="31"/>
      <c r="N50" s="562"/>
    </row>
    <row r="51" spans="1:14" s="381" customFormat="1">
      <c r="A51" s="593"/>
      <c r="B51" s="587"/>
      <c r="C51" s="686"/>
      <c r="D51" s="587"/>
      <c r="E51" s="587"/>
      <c r="F51" s="587"/>
      <c r="G51" s="582"/>
      <c r="H51" s="31"/>
      <c r="I51" s="31"/>
      <c r="J51" s="31"/>
      <c r="K51" s="31"/>
      <c r="L51" s="31"/>
      <c r="M51" s="31"/>
      <c r="N51" s="562"/>
    </row>
    <row r="52" spans="1:14" s="381" customFormat="1">
      <c r="A52" s="731" t="s">
        <v>336</v>
      </c>
      <c r="B52" s="732"/>
      <c r="C52" s="732"/>
      <c r="D52" s="732"/>
      <c r="E52" s="732"/>
      <c r="F52" s="732"/>
      <c r="G52" s="582"/>
      <c r="H52" s="31"/>
      <c r="I52" s="31"/>
      <c r="J52" s="31"/>
      <c r="K52" s="31"/>
      <c r="L52" s="31"/>
      <c r="M52" s="31"/>
      <c r="N52" s="562"/>
    </row>
    <row r="53" spans="1:14" s="381" customFormat="1" ht="18.600000000000001" customHeight="1">
      <c r="A53" s="742" t="s">
        <v>1183</v>
      </c>
      <c r="B53" s="743"/>
      <c r="C53" s="743"/>
      <c r="D53" s="743"/>
      <c r="E53" s="743"/>
      <c r="F53" s="744"/>
      <c r="G53" s="582"/>
      <c r="H53" s="31"/>
      <c r="I53" s="31"/>
      <c r="J53" s="31"/>
      <c r="K53" s="31"/>
      <c r="L53" s="31"/>
      <c r="M53" s="31"/>
      <c r="N53" s="562"/>
    </row>
    <row r="54" spans="1:14" s="381" customFormat="1">
      <c r="A54" s="594"/>
      <c r="B54" s="595"/>
      <c r="C54" s="595"/>
      <c r="D54" s="595"/>
      <c r="E54" s="595"/>
      <c r="F54" s="595"/>
      <c r="G54" s="582"/>
      <c r="H54" s="31"/>
      <c r="I54" s="31"/>
      <c r="J54" s="31"/>
      <c r="K54" s="31"/>
      <c r="L54" s="31"/>
      <c r="M54" s="31"/>
      <c r="N54" s="562"/>
    </row>
    <row r="55" spans="1:14" s="381" customFormat="1">
      <c r="A55" s="596" t="s">
        <v>337</v>
      </c>
      <c r="B55" s="587"/>
      <c r="C55" s="686"/>
      <c r="D55" s="587"/>
      <c r="E55" s="587"/>
      <c r="F55" s="587"/>
      <c r="G55" s="582"/>
      <c r="H55" s="31"/>
      <c r="I55" s="31"/>
      <c r="J55" s="31"/>
      <c r="K55" s="31"/>
      <c r="L55" s="31"/>
      <c r="M55" s="31"/>
      <c r="N55" s="562"/>
    </row>
    <row r="56" spans="1:14" s="381" customFormat="1" ht="43.25" customHeight="1">
      <c r="A56" s="742" t="s">
        <v>1184</v>
      </c>
      <c r="B56" s="743"/>
      <c r="C56" s="743"/>
      <c r="D56" s="743"/>
      <c r="E56" s="743"/>
      <c r="F56" s="744"/>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365</v>
      </c>
      <c r="B58" s="732"/>
      <c r="C58" s="732"/>
      <c r="D58" s="732"/>
      <c r="E58" s="732"/>
      <c r="F58" s="732"/>
      <c r="G58" s="582"/>
      <c r="H58" s="31"/>
      <c r="I58" s="31"/>
      <c r="J58" s="31"/>
      <c r="K58" s="31"/>
      <c r="L58" s="31"/>
      <c r="M58" s="31"/>
      <c r="N58" s="562"/>
    </row>
    <row r="59" spans="1:14" s="381" customFormat="1">
      <c r="A59" s="733" t="s">
        <v>339</v>
      </c>
      <c r="B59" s="734"/>
      <c r="C59" s="734"/>
      <c r="D59" s="734"/>
      <c r="E59" s="734"/>
      <c r="F59" s="734"/>
      <c r="G59" s="582"/>
      <c r="H59" s="31"/>
      <c r="I59" s="31"/>
      <c r="J59" s="31"/>
      <c r="K59" s="31"/>
      <c r="L59" s="31"/>
      <c r="M59" s="31"/>
      <c r="N59" s="562"/>
    </row>
    <row r="60" spans="1:14" s="381" customFormat="1" ht="41.6" customHeight="1">
      <c r="A60" s="742" t="s">
        <v>1185</v>
      </c>
      <c r="B60" s="743"/>
      <c r="C60" s="743"/>
      <c r="D60" s="743"/>
      <c r="E60" s="743"/>
      <c r="F60" s="744"/>
      <c r="G60" s="582"/>
      <c r="H60" s="31"/>
      <c r="I60" s="31"/>
      <c r="J60" s="31"/>
      <c r="K60" s="31"/>
      <c r="L60" s="31"/>
      <c r="M60" s="31"/>
      <c r="N60" s="562"/>
    </row>
    <row r="61" spans="1:14" s="381" customFormat="1">
      <c r="A61" s="596"/>
      <c r="B61" s="587"/>
      <c r="C61" s="686"/>
      <c r="D61" s="587"/>
      <c r="E61" s="587"/>
      <c r="F61" s="587"/>
      <c r="G61" s="582"/>
      <c r="H61" s="31"/>
      <c r="I61" s="31"/>
      <c r="J61" s="31"/>
      <c r="K61" s="31"/>
      <c r="L61" s="31"/>
      <c r="M61" s="31"/>
      <c r="N61" s="562"/>
    </row>
    <row r="62" spans="1:14" s="381" customFormat="1">
      <c r="A62" s="731" t="s">
        <v>340</v>
      </c>
      <c r="B62" s="732"/>
      <c r="C62" s="732"/>
      <c r="D62" s="732"/>
      <c r="E62" s="732"/>
      <c r="F62" s="587"/>
      <c r="G62" s="582"/>
      <c r="H62" s="31"/>
      <c r="I62" s="31"/>
      <c r="J62" s="31"/>
      <c r="K62" s="31"/>
      <c r="L62" s="31"/>
      <c r="M62" s="31"/>
      <c r="N62" s="562"/>
    </row>
    <row r="63" spans="1:14" s="381" customFormat="1" ht="19.3" customHeight="1">
      <c r="A63" s="728" t="s">
        <v>1186</v>
      </c>
      <c r="B63" s="729"/>
      <c r="C63" s="729"/>
      <c r="D63" s="729"/>
      <c r="E63" s="729"/>
      <c r="F63" s="730"/>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596" t="s">
        <v>341</v>
      </c>
      <c r="B65" s="587"/>
      <c r="C65" s="686"/>
      <c r="D65" s="587"/>
      <c r="E65" s="587"/>
      <c r="F65" s="587"/>
      <c r="G65" s="582"/>
      <c r="H65" s="31"/>
      <c r="I65" s="31"/>
      <c r="J65" s="31"/>
      <c r="K65" s="31"/>
      <c r="L65" s="31"/>
      <c r="M65" s="31"/>
      <c r="N65" s="562"/>
    </row>
    <row r="66" spans="1:14" s="381" customFormat="1">
      <c r="A66" s="597" t="s">
        <v>342</v>
      </c>
      <c r="B66" s="587"/>
      <c r="C66" s="686"/>
      <c r="D66" s="587"/>
      <c r="E66" s="587"/>
      <c r="F66" s="587"/>
      <c r="G66" s="582"/>
      <c r="H66" s="31"/>
      <c r="I66" s="31"/>
      <c r="J66" s="31"/>
      <c r="K66" s="31"/>
      <c r="L66" s="31"/>
      <c r="M66" s="31"/>
      <c r="N66" s="562"/>
    </row>
    <row r="67" spans="1:14" s="381" customFormat="1" ht="26.2" customHeight="1">
      <c r="A67" s="719" t="s">
        <v>1187</v>
      </c>
      <c r="B67" s="720"/>
      <c r="C67" s="720"/>
      <c r="D67" s="720"/>
      <c r="E67" s="720"/>
      <c r="F67" s="720"/>
      <c r="G67" s="582"/>
      <c r="H67" s="31"/>
      <c r="I67" s="31"/>
      <c r="J67" s="31"/>
      <c r="K67" s="31"/>
      <c r="L67" s="31"/>
      <c r="M67" s="31"/>
      <c r="N67" s="562"/>
    </row>
    <row r="68" spans="1:14" s="381" customFormat="1" ht="17.850000000000001" customHeight="1">
      <c r="A68" s="742" t="s">
        <v>1188</v>
      </c>
      <c r="B68" s="743"/>
      <c r="C68" s="743"/>
      <c r="D68" s="743"/>
      <c r="E68" s="743"/>
      <c r="F68" s="744"/>
      <c r="G68" s="582"/>
      <c r="H68" s="31"/>
      <c r="I68" s="31"/>
      <c r="J68" s="31"/>
      <c r="K68" s="31"/>
      <c r="L68" s="31"/>
      <c r="M68" s="31"/>
      <c r="N68" s="562"/>
    </row>
    <row r="69" spans="1:14" s="381" customFormat="1">
      <c r="A69" s="724"/>
      <c r="B69" s="725"/>
      <c r="C69" s="725"/>
      <c r="D69" s="725"/>
      <c r="E69" s="725"/>
      <c r="F69" s="725"/>
      <c r="G69" s="582"/>
      <c r="H69" s="31"/>
      <c r="I69" s="31"/>
      <c r="J69" s="31"/>
      <c r="K69" s="31"/>
      <c r="L69" s="31"/>
      <c r="M69" s="31"/>
      <c r="N69" s="562"/>
    </row>
    <row r="70" spans="1:14" s="381" customFormat="1">
      <c r="A70" s="597" t="s">
        <v>344</v>
      </c>
      <c r="B70" s="587"/>
      <c r="C70" s="686"/>
      <c r="D70" s="587"/>
      <c r="E70" s="587"/>
      <c r="F70" s="587"/>
      <c r="G70" s="582"/>
      <c r="H70" s="31"/>
      <c r="I70" s="31"/>
      <c r="J70" s="31"/>
      <c r="K70" s="31"/>
      <c r="L70" s="31"/>
      <c r="M70" s="31"/>
      <c r="N70" s="562"/>
    </row>
    <row r="71" spans="1:14" s="381" customFormat="1" ht="40.85" customHeight="1">
      <c r="A71" s="726" t="s">
        <v>345</v>
      </c>
      <c r="B71" s="727"/>
      <c r="C71" s="727"/>
      <c r="D71" s="727"/>
      <c r="E71" s="727"/>
      <c r="F71" s="727"/>
      <c r="G71" s="582"/>
      <c r="H71" s="31"/>
      <c r="I71" s="31"/>
      <c r="J71" s="31"/>
      <c r="K71" s="31"/>
      <c r="L71" s="31"/>
      <c r="M71" s="31"/>
      <c r="N71" s="562"/>
    </row>
    <row r="72" spans="1:14" s="381" customFormat="1">
      <c r="A72" s="728"/>
      <c r="B72" s="729"/>
      <c r="C72" s="729"/>
      <c r="D72" s="729"/>
      <c r="E72" s="729"/>
      <c r="F72" s="730"/>
      <c r="G72" s="582"/>
      <c r="H72" s="31"/>
      <c r="I72" s="31"/>
      <c r="J72" s="31"/>
      <c r="K72" s="31"/>
      <c r="L72" s="31"/>
      <c r="M72" s="31"/>
      <c r="N72" s="562"/>
    </row>
    <row r="73" spans="1:14" s="381" customFormat="1" ht="15.6" thickBot="1">
      <c r="A73" s="598"/>
      <c r="B73" s="599"/>
      <c r="C73" s="600"/>
      <c r="D73" s="599"/>
      <c r="E73" s="599"/>
      <c r="F73" s="599"/>
      <c r="G73" s="601"/>
      <c r="H73" s="31"/>
      <c r="I73" s="31"/>
      <c r="J73" s="31"/>
      <c r="K73" s="31"/>
      <c r="L73" s="31"/>
      <c r="M73" s="31"/>
      <c r="N73" s="562"/>
    </row>
    <row r="74" spans="1:14" s="381" customFormat="1">
      <c r="A74" s="31"/>
      <c r="B74" s="31"/>
      <c r="C74" s="32"/>
      <c r="D74" s="31"/>
      <c r="E74" s="31"/>
      <c r="F74" s="31"/>
      <c r="G74" s="31"/>
      <c r="H74" s="31"/>
      <c r="I74" s="31"/>
      <c r="J74" s="31"/>
      <c r="K74" s="31"/>
      <c r="L74" s="31"/>
      <c r="M74" s="31"/>
      <c r="N74" s="562"/>
    </row>
  </sheetData>
  <mergeCells count="17">
    <mergeCell ref="A1:N1"/>
    <mergeCell ref="A44:F44"/>
    <mergeCell ref="A45:F45"/>
    <mergeCell ref="A46:B46"/>
    <mergeCell ref="A52:F52"/>
    <mergeCell ref="A53:F53"/>
    <mergeCell ref="A56:F56"/>
    <mergeCell ref="A58:F58"/>
    <mergeCell ref="A59:F59"/>
    <mergeCell ref="A60:F60"/>
    <mergeCell ref="A71:F71"/>
    <mergeCell ref="A72:F72"/>
    <mergeCell ref="A62:E62"/>
    <mergeCell ref="A63:F63"/>
    <mergeCell ref="A67:F67"/>
    <mergeCell ref="A68:F68"/>
    <mergeCell ref="A69:F69"/>
  </mergeCells>
  <printOptions horizontalCentered="1"/>
  <pageMargins left="0.2" right="0.2" top="0.75" bottom="0.75" header="0.3" footer="0.3"/>
  <pageSetup scale="76" fitToHeight="0" orientation="landscape" r:id="rId1"/>
  <headerFooter>
    <oddHeader xml:space="preserve">&amp;CDRAFT NOT FOR DISTRIBUTION, INTERNAL USE ONLY
</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2" tint="-0.249977111117893"/>
    <pageSetUpPr fitToPage="1"/>
  </sheetPr>
  <dimension ref="A1:N62"/>
  <sheetViews>
    <sheetView zoomScaleNormal="100" workbookViewId="0">
      <selection sqref="A1:N1"/>
    </sheetView>
  </sheetViews>
  <sheetFormatPr defaultRowHeight="14.85"/>
  <cols>
    <col min="1" max="1" width="42.140625" customWidth="1"/>
    <col min="2" max="2" width="12.5703125"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42.28515625" customWidth="1"/>
  </cols>
  <sheetData>
    <row r="1" spans="1:14" ht="15.6">
      <c r="A1" s="745" t="s">
        <v>227</v>
      </c>
      <c r="B1" s="745"/>
      <c r="C1" s="745"/>
      <c r="D1" s="745"/>
      <c r="E1" s="745"/>
      <c r="F1" s="745"/>
      <c r="G1" s="745"/>
      <c r="H1" s="745"/>
      <c r="I1" s="745"/>
      <c r="J1" s="745"/>
      <c r="K1" s="745"/>
      <c r="L1" s="745"/>
      <c r="M1" s="745"/>
      <c r="N1" s="745"/>
    </row>
    <row r="2" spans="1:14">
      <c r="A2" s="65" t="s">
        <v>1189</v>
      </c>
      <c r="B2" s="381"/>
      <c r="C2" s="687"/>
      <c r="D2" s="381"/>
      <c r="E2" s="381"/>
      <c r="F2" s="381"/>
      <c r="G2" s="381"/>
      <c r="H2" s="381"/>
      <c r="I2" s="381"/>
      <c r="J2" s="381"/>
      <c r="K2" s="381"/>
      <c r="L2" s="381"/>
      <c r="M2" s="381"/>
      <c r="N2" s="381"/>
    </row>
    <row r="3" spans="1:14">
      <c r="A3" s="68" t="s">
        <v>1190</v>
      </c>
      <c r="B3" s="381"/>
      <c r="C3" s="687"/>
      <c r="D3" s="381"/>
      <c r="E3" s="381"/>
      <c r="F3" s="381"/>
      <c r="G3" s="554" t="s">
        <v>275</v>
      </c>
      <c r="H3" s="29"/>
      <c r="I3" s="381"/>
      <c r="J3" s="381"/>
      <c r="K3" s="381"/>
      <c r="L3" s="381"/>
      <c r="M3" s="381"/>
      <c r="N3" s="381"/>
    </row>
    <row r="4" spans="1:14">
      <c r="A4" s="68" t="s">
        <v>1191</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s="285" customFormat="1">
      <c r="A7" s="36" t="s">
        <v>1192</v>
      </c>
      <c r="B7" s="265" t="s">
        <v>885</v>
      </c>
      <c r="C7" s="37" t="s">
        <v>287</v>
      </c>
      <c r="D7" s="39">
        <v>0.1</v>
      </c>
      <c r="E7" s="263">
        <v>21</v>
      </c>
      <c r="F7" s="309">
        <f t="shared" ref="F7:F11" si="0">SUM(G7:M7)</f>
        <v>22</v>
      </c>
      <c r="G7" s="310">
        <v>0</v>
      </c>
      <c r="H7" s="310">
        <v>0</v>
      </c>
      <c r="I7" s="310">
        <v>0</v>
      </c>
      <c r="J7" s="310">
        <v>0</v>
      </c>
      <c r="K7" s="310">
        <v>22</v>
      </c>
      <c r="L7" s="310">
        <v>0</v>
      </c>
      <c r="M7" s="311">
        <v>0</v>
      </c>
      <c r="N7" s="325" t="s">
        <v>1193</v>
      </c>
    </row>
    <row r="8" spans="1:14" s="381" customFormat="1" ht="18.600000000000001" customHeight="1">
      <c r="A8" s="36" t="s">
        <v>1194</v>
      </c>
      <c r="B8" s="265" t="s">
        <v>864</v>
      </c>
      <c r="C8" s="37" t="s">
        <v>287</v>
      </c>
      <c r="D8" s="39">
        <v>0.5</v>
      </c>
      <c r="E8" s="263">
        <v>0</v>
      </c>
      <c r="F8" s="309">
        <f t="shared" ref="F8" si="1">SUM(G8:M8)</f>
        <v>86</v>
      </c>
      <c r="G8" s="310">
        <v>0</v>
      </c>
      <c r="H8" s="310">
        <v>0</v>
      </c>
      <c r="I8" s="310">
        <v>0</v>
      </c>
      <c r="J8" s="310">
        <v>0</v>
      </c>
      <c r="K8" s="310">
        <v>0</v>
      </c>
      <c r="L8" s="310">
        <v>86</v>
      </c>
      <c r="M8" s="311">
        <v>0</v>
      </c>
      <c r="N8" s="325" t="s">
        <v>1195</v>
      </c>
    </row>
    <row r="9" spans="1:14" s="354" customFormat="1" ht="29.7">
      <c r="A9" s="36" t="s">
        <v>1196</v>
      </c>
      <c r="B9" s="265" t="s">
        <v>864</v>
      </c>
      <c r="C9" s="37" t="s">
        <v>287</v>
      </c>
      <c r="D9" s="39">
        <v>1</v>
      </c>
      <c r="E9" s="263">
        <v>130</v>
      </c>
      <c r="F9" s="309">
        <f t="shared" si="0"/>
        <v>130</v>
      </c>
      <c r="G9" s="310">
        <v>0</v>
      </c>
      <c r="H9" s="310">
        <v>0</v>
      </c>
      <c r="I9" s="310">
        <v>0</v>
      </c>
      <c r="J9" s="310">
        <v>0</v>
      </c>
      <c r="K9" s="310">
        <v>0</v>
      </c>
      <c r="L9" s="310">
        <v>130</v>
      </c>
      <c r="M9" s="311"/>
      <c r="N9" s="325" t="s">
        <v>1197</v>
      </c>
    </row>
    <row r="10" spans="1:14" ht="65.349999999999994" customHeight="1">
      <c r="A10" s="36" t="s">
        <v>1198</v>
      </c>
      <c r="B10" s="264" t="s">
        <v>864</v>
      </c>
      <c r="C10" s="37" t="s">
        <v>287</v>
      </c>
      <c r="D10" s="39">
        <v>1</v>
      </c>
      <c r="E10" s="263">
        <v>130</v>
      </c>
      <c r="F10" s="309">
        <f t="shared" si="0"/>
        <v>0</v>
      </c>
      <c r="G10" s="310">
        <v>0</v>
      </c>
      <c r="H10" s="310">
        <v>0</v>
      </c>
      <c r="I10" s="310">
        <v>0</v>
      </c>
      <c r="J10" s="310">
        <v>0</v>
      </c>
      <c r="K10" s="310">
        <f>134-134</f>
        <v>0</v>
      </c>
      <c r="L10" s="310">
        <v>0</v>
      </c>
      <c r="M10" s="311">
        <v>0</v>
      </c>
      <c r="N10" s="327" t="s">
        <v>1332</v>
      </c>
    </row>
    <row r="11" spans="1:14" ht="29.7">
      <c r="A11" s="36" t="s">
        <v>1199</v>
      </c>
      <c r="B11" s="264" t="s">
        <v>864</v>
      </c>
      <c r="C11" s="37" t="s">
        <v>287</v>
      </c>
      <c r="D11" s="39">
        <v>0.25</v>
      </c>
      <c r="E11" s="263">
        <v>13</v>
      </c>
      <c r="F11" s="309">
        <f t="shared" si="0"/>
        <v>13</v>
      </c>
      <c r="G11" s="310">
        <v>0</v>
      </c>
      <c r="H11" s="310">
        <v>0</v>
      </c>
      <c r="I11" s="310">
        <v>0</v>
      </c>
      <c r="J11" s="310">
        <v>0</v>
      </c>
      <c r="K11" s="310">
        <v>0</v>
      </c>
      <c r="L11" s="310">
        <v>13</v>
      </c>
      <c r="M11" s="311">
        <v>0</v>
      </c>
      <c r="N11" s="327" t="s">
        <v>1200</v>
      </c>
    </row>
    <row r="12" spans="1:14" ht="15.05" customHeight="1">
      <c r="A12" s="36" t="s">
        <v>286</v>
      </c>
      <c r="B12" s="36"/>
      <c r="C12" s="37" t="s">
        <v>287</v>
      </c>
      <c r="D12" s="39"/>
      <c r="E12" s="263">
        <v>0</v>
      </c>
      <c r="F12" s="309">
        <f>SUM(G12:M12)</f>
        <v>0</v>
      </c>
      <c r="G12" s="310">
        <v>0</v>
      </c>
      <c r="H12" s="310">
        <v>0</v>
      </c>
      <c r="I12" s="310">
        <v>0</v>
      </c>
      <c r="J12" s="310">
        <v>0</v>
      </c>
      <c r="K12" s="310">
        <v>0</v>
      </c>
      <c r="L12" s="310">
        <v>0</v>
      </c>
      <c r="M12" s="311">
        <v>0</v>
      </c>
      <c r="N12" s="355"/>
    </row>
    <row r="13" spans="1:14">
      <c r="A13" s="40" t="s">
        <v>288</v>
      </c>
      <c r="B13" s="265"/>
      <c r="C13" s="266"/>
      <c r="D13" s="41">
        <f t="shared" ref="D13:L13" si="2">SUM(D7:D12)</f>
        <v>2.85</v>
      </c>
      <c r="E13" s="42">
        <f t="shared" si="2"/>
        <v>294</v>
      </c>
      <c r="F13" s="43">
        <f t="shared" si="2"/>
        <v>251</v>
      </c>
      <c r="G13" s="43">
        <f t="shared" si="2"/>
        <v>0</v>
      </c>
      <c r="H13" s="43">
        <f t="shared" si="2"/>
        <v>0</v>
      </c>
      <c r="I13" s="43">
        <f t="shared" si="2"/>
        <v>0</v>
      </c>
      <c r="J13" s="43">
        <f t="shared" si="2"/>
        <v>0</v>
      </c>
      <c r="K13" s="43">
        <f t="shared" si="2"/>
        <v>22</v>
      </c>
      <c r="L13" s="43">
        <f t="shared" si="2"/>
        <v>229</v>
      </c>
      <c r="M13" s="43">
        <f>SUM(M10:M12)</f>
        <v>0</v>
      </c>
      <c r="N13" s="355"/>
    </row>
    <row r="14" spans="1:14">
      <c r="A14" s="127" t="s">
        <v>289</v>
      </c>
      <c r="B14" s="128"/>
      <c r="C14" s="129"/>
      <c r="D14" s="128"/>
      <c r="E14" s="128"/>
      <c r="F14" s="89"/>
      <c r="G14" s="89"/>
      <c r="H14" s="89"/>
      <c r="I14" s="89"/>
      <c r="J14" s="89"/>
      <c r="K14" s="89"/>
      <c r="L14" s="89"/>
      <c r="M14" s="89"/>
      <c r="N14" s="89"/>
    </row>
    <row r="15" spans="1:14">
      <c r="A15" s="264" t="s">
        <v>384</v>
      </c>
      <c r="B15" s="264"/>
      <c r="C15" s="44">
        <v>253</v>
      </c>
      <c r="D15" s="45"/>
      <c r="E15" s="263">
        <v>0</v>
      </c>
      <c r="F15" s="357">
        <f>SUM(G15:M15)</f>
        <v>0</v>
      </c>
      <c r="G15" s="310">
        <v>0</v>
      </c>
      <c r="H15" s="310">
        <v>0</v>
      </c>
      <c r="I15" s="310">
        <v>0</v>
      </c>
      <c r="J15" s="310">
        <v>0</v>
      </c>
      <c r="K15" s="310">
        <v>0</v>
      </c>
      <c r="L15" s="310">
        <v>0</v>
      </c>
      <c r="M15" s="311">
        <v>0</v>
      </c>
      <c r="N15" s="326"/>
    </row>
    <row r="16" spans="1:14">
      <c r="A16" s="40" t="s">
        <v>294</v>
      </c>
      <c r="B16" s="265"/>
      <c r="C16" s="266"/>
      <c r="D16" s="267">
        <f>SUM(D15:D15)</f>
        <v>0</v>
      </c>
      <c r="E16" s="42">
        <f>SUM(E15)</f>
        <v>0</v>
      </c>
      <c r="F16" s="43">
        <f t="shared" ref="F16:M16" si="3">SUM(F15:F15)</f>
        <v>0</v>
      </c>
      <c r="G16" s="43">
        <f t="shared" si="3"/>
        <v>0</v>
      </c>
      <c r="H16" s="43">
        <f t="shared" si="3"/>
        <v>0</v>
      </c>
      <c r="I16" s="43">
        <f t="shared" si="3"/>
        <v>0</v>
      </c>
      <c r="J16" s="43">
        <f t="shared" si="3"/>
        <v>0</v>
      </c>
      <c r="K16" s="43">
        <f t="shared" si="3"/>
        <v>0</v>
      </c>
      <c r="L16" s="43">
        <f t="shared" si="3"/>
        <v>0</v>
      </c>
      <c r="M16" s="43">
        <f t="shared" si="3"/>
        <v>0</v>
      </c>
      <c r="N16" s="325"/>
    </row>
    <row r="17" spans="1:14" s="7" customFormat="1">
      <c r="A17" s="127" t="s">
        <v>295</v>
      </c>
      <c r="B17" s="128"/>
      <c r="C17" s="128"/>
      <c r="D17" s="128"/>
      <c r="E17" s="89"/>
      <c r="F17" s="89"/>
      <c r="G17" s="89"/>
      <c r="H17" s="89"/>
      <c r="I17" s="89"/>
      <c r="J17" s="89"/>
      <c r="K17" s="89"/>
      <c r="L17" s="89"/>
      <c r="M17" s="89"/>
      <c r="N17" s="130"/>
    </row>
    <row r="18" spans="1:14">
      <c r="A18" s="264" t="s">
        <v>296</v>
      </c>
      <c r="B18" s="36"/>
      <c r="C18" s="37" t="s">
        <v>297</v>
      </c>
      <c r="D18" s="38">
        <v>0</v>
      </c>
      <c r="E18" s="263">
        <v>28</v>
      </c>
      <c r="F18" s="309">
        <f t="shared" ref="F18:F34" si="4">SUM(G18:M18)</f>
        <v>28</v>
      </c>
      <c r="G18" s="310">
        <v>0</v>
      </c>
      <c r="H18" s="310">
        <v>0</v>
      </c>
      <c r="I18" s="310">
        <v>0</v>
      </c>
      <c r="J18" s="310">
        <v>10</v>
      </c>
      <c r="K18" s="310">
        <f>20-10</f>
        <v>10</v>
      </c>
      <c r="L18" s="310">
        <v>8</v>
      </c>
      <c r="M18" s="311">
        <v>0</v>
      </c>
      <c r="N18" s="327" t="s">
        <v>1201</v>
      </c>
    </row>
    <row r="19" spans="1:14">
      <c r="A19" s="264" t="s">
        <v>298</v>
      </c>
      <c r="B19" s="36"/>
      <c r="C19" s="44" t="s">
        <v>299</v>
      </c>
      <c r="D19" s="45"/>
      <c r="E19" s="263">
        <v>0</v>
      </c>
      <c r="F19" s="309">
        <f t="shared" si="4"/>
        <v>0</v>
      </c>
      <c r="G19" s="310">
        <v>0</v>
      </c>
      <c r="H19" s="310">
        <v>0</v>
      </c>
      <c r="I19" s="310">
        <v>0</v>
      </c>
      <c r="J19" s="310">
        <v>0</v>
      </c>
      <c r="K19" s="310">
        <v>0</v>
      </c>
      <c r="L19" s="310">
        <v>0</v>
      </c>
      <c r="M19" s="311">
        <v>0</v>
      </c>
      <c r="N19" s="355"/>
    </row>
    <row r="20" spans="1:14">
      <c r="A20" s="264" t="s">
        <v>300</v>
      </c>
      <c r="B20" s="36"/>
      <c r="C20" s="44" t="s">
        <v>301</v>
      </c>
      <c r="D20" s="45"/>
      <c r="E20" s="263">
        <v>3</v>
      </c>
      <c r="F20" s="309">
        <f t="shared" si="4"/>
        <v>3</v>
      </c>
      <c r="G20" s="310">
        <v>0</v>
      </c>
      <c r="H20" s="310">
        <v>0</v>
      </c>
      <c r="I20" s="310">
        <v>0</v>
      </c>
      <c r="J20" s="310">
        <v>2</v>
      </c>
      <c r="K20" s="310">
        <f>3-2</f>
        <v>1</v>
      </c>
      <c r="L20" s="310">
        <v>0</v>
      </c>
      <c r="M20" s="311">
        <v>0</v>
      </c>
      <c r="N20" s="418" t="s">
        <v>1202</v>
      </c>
    </row>
    <row r="21" spans="1:14">
      <c r="A21" s="264" t="s">
        <v>302</v>
      </c>
      <c r="B21" s="264"/>
      <c r="C21" s="44" t="s">
        <v>303</v>
      </c>
      <c r="D21" s="45"/>
      <c r="E21" s="263">
        <v>0</v>
      </c>
      <c r="F21" s="309">
        <f t="shared" si="4"/>
        <v>0</v>
      </c>
      <c r="G21" s="310">
        <v>0</v>
      </c>
      <c r="H21" s="310">
        <v>0</v>
      </c>
      <c r="I21" s="310">
        <v>0</v>
      </c>
      <c r="J21" s="310">
        <v>0</v>
      </c>
      <c r="K21" s="310">
        <v>0</v>
      </c>
      <c r="L21" s="310">
        <v>0</v>
      </c>
      <c r="M21" s="311">
        <v>0</v>
      </c>
      <c r="N21" s="325"/>
    </row>
    <row r="22" spans="1:14" s="285" customFormat="1">
      <c r="A22" s="264" t="s">
        <v>1203</v>
      </c>
      <c r="B22" s="264"/>
      <c r="C22" s="44">
        <v>251</v>
      </c>
      <c r="D22" s="45"/>
      <c r="E22" s="263">
        <v>0</v>
      </c>
      <c r="F22" s="357">
        <f t="shared" si="4"/>
        <v>0</v>
      </c>
      <c r="G22" s="310">
        <v>0</v>
      </c>
      <c r="H22" s="310">
        <v>0</v>
      </c>
      <c r="I22" s="310">
        <v>0</v>
      </c>
      <c r="J22" s="310">
        <v>0</v>
      </c>
      <c r="K22" s="310">
        <v>0</v>
      </c>
      <c r="L22" s="310"/>
      <c r="M22" s="311">
        <v>0</v>
      </c>
      <c r="N22" s="325"/>
    </row>
    <row r="23" spans="1:14" s="308" customFormat="1">
      <c r="A23" s="264" t="s">
        <v>1204</v>
      </c>
      <c r="B23" s="265" t="s">
        <v>864</v>
      </c>
      <c r="C23" s="266">
        <v>251</v>
      </c>
      <c r="D23" s="267"/>
      <c r="E23" s="318">
        <v>60</v>
      </c>
      <c r="F23" s="357">
        <f>SUM(G23:M23)</f>
        <v>60</v>
      </c>
      <c r="G23" s="319"/>
      <c r="H23" s="319"/>
      <c r="I23" s="319"/>
      <c r="J23" s="319"/>
      <c r="K23" s="319">
        <v>60</v>
      </c>
      <c r="L23" s="319">
        <v>0</v>
      </c>
      <c r="M23" s="320"/>
      <c r="N23" s="325" t="s">
        <v>1205</v>
      </c>
    </row>
    <row r="24" spans="1:14" s="308" customFormat="1">
      <c r="A24" s="264" t="s">
        <v>1206</v>
      </c>
      <c r="B24" s="264"/>
      <c r="C24" s="44">
        <v>251</v>
      </c>
      <c r="D24" s="45"/>
      <c r="E24" s="263">
        <v>0</v>
      </c>
      <c r="F24" s="357">
        <f>SUM(G24:M24)</f>
        <v>0</v>
      </c>
      <c r="G24" s="310">
        <v>0</v>
      </c>
      <c r="H24" s="310">
        <v>0</v>
      </c>
      <c r="I24" s="319">
        <v>0</v>
      </c>
      <c r="J24" s="319">
        <v>0</v>
      </c>
      <c r="K24" s="319">
        <v>0</v>
      </c>
      <c r="L24" s="319">
        <v>0</v>
      </c>
      <c r="M24" s="320">
        <v>0</v>
      </c>
      <c r="N24" s="325"/>
    </row>
    <row r="25" spans="1:14" s="308" customFormat="1" ht="44.55">
      <c r="A25" s="73" t="s">
        <v>847</v>
      </c>
      <c r="B25" s="36" t="s">
        <v>1207</v>
      </c>
      <c r="C25" s="44">
        <v>251</v>
      </c>
      <c r="D25" s="45"/>
      <c r="E25" s="263">
        <v>480</v>
      </c>
      <c r="F25" s="357">
        <f>SUM(G25:M25)</f>
        <v>480</v>
      </c>
      <c r="G25" s="310">
        <v>0</v>
      </c>
      <c r="H25" s="310">
        <v>0</v>
      </c>
      <c r="I25" s="319">
        <v>0</v>
      </c>
      <c r="J25" s="319">
        <v>0</v>
      </c>
      <c r="K25" s="319">
        <v>480</v>
      </c>
      <c r="L25" s="319">
        <v>0</v>
      </c>
      <c r="M25" s="320">
        <v>0</v>
      </c>
      <c r="N25" s="327" t="s">
        <v>1208</v>
      </c>
    </row>
    <row r="26" spans="1:14" s="308" customFormat="1">
      <c r="A26" s="264" t="s">
        <v>845</v>
      </c>
      <c r="B26" s="264"/>
      <c r="C26" s="44">
        <v>251</v>
      </c>
      <c r="D26" s="45"/>
      <c r="E26" s="263">
        <v>0</v>
      </c>
      <c r="F26" s="357">
        <f>SUM(G26:M26)</f>
        <v>0</v>
      </c>
      <c r="G26" s="310">
        <v>0</v>
      </c>
      <c r="H26" s="310">
        <v>0</v>
      </c>
      <c r="I26" s="310">
        <v>0</v>
      </c>
      <c r="J26" s="310">
        <v>0</v>
      </c>
      <c r="K26" s="310">
        <v>0</v>
      </c>
      <c r="L26" s="310">
        <v>0</v>
      </c>
      <c r="M26" s="311"/>
      <c r="N26" s="325"/>
    </row>
    <row r="27" spans="1:14">
      <c r="A27" s="264" t="s">
        <v>304</v>
      </c>
      <c r="B27" s="36"/>
      <c r="C27" s="44">
        <v>251</v>
      </c>
      <c r="D27" s="45"/>
      <c r="E27" s="263">
        <v>0</v>
      </c>
      <c r="F27" s="309">
        <f t="shared" si="4"/>
        <v>0</v>
      </c>
      <c r="G27" s="310">
        <v>0</v>
      </c>
      <c r="H27" s="310">
        <v>0</v>
      </c>
      <c r="I27" s="310">
        <v>0</v>
      </c>
      <c r="J27" s="310">
        <v>0</v>
      </c>
      <c r="K27" s="310">
        <v>0</v>
      </c>
      <c r="L27" s="310">
        <v>0</v>
      </c>
      <c r="M27" s="311">
        <v>0</v>
      </c>
      <c r="N27" s="326"/>
    </row>
    <row r="28" spans="1:14">
      <c r="A28" s="264" t="s">
        <v>313</v>
      </c>
      <c r="B28" s="36"/>
      <c r="C28" s="44">
        <v>252</v>
      </c>
      <c r="D28" s="45"/>
      <c r="E28" s="263">
        <v>0</v>
      </c>
      <c r="F28" s="309">
        <f t="shared" si="4"/>
        <v>0</v>
      </c>
      <c r="G28" s="310">
        <v>0</v>
      </c>
      <c r="H28" s="310">
        <v>0</v>
      </c>
      <c r="I28" s="310">
        <v>0</v>
      </c>
      <c r="J28" s="310">
        <v>0</v>
      </c>
      <c r="K28" s="310">
        <v>0</v>
      </c>
      <c r="L28" s="310">
        <v>0</v>
      </c>
      <c r="M28" s="311">
        <v>0</v>
      </c>
      <c r="N28" s="355"/>
    </row>
    <row r="29" spans="1:14">
      <c r="A29" s="264" t="s">
        <v>314</v>
      </c>
      <c r="B29" s="36"/>
      <c r="C29" s="44">
        <v>252</v>
      </c>
      <c r="D29" s="45"/>
      <c r="E29" s="263">
        <v>0</v>
      </c>
      <c r="F29" s="309">
        <f t="shared" si="4"/>
        <v>0</v>
      </c>
      <c r="G29" s="310">
        <v>0</v>
      </c>
      <c r="H29" s="310">
        <v>0</v>
      </c>
      <c r="I29" s="310">
        <v>0</v>
      </c>
      <c r="J29" s="310">
        <v>0</v>
      </c>
      <c r="K29" s="310">
        <v>0</v>
      </c>
      <c r="L29" s="310">
        <v>0</v>
      </c>
      <c r="M29" s="311">
        <v>0</v>
      </c>
      <c r="N29" s="355"/>
    </row>
    <row r="30" spans="1:14">
      <c r="A30" s="264" t="s">
        <v>315</v>
      </c>
      <c r="B30" s="36"/>
      <c r="C30" s="44">
        <v>253</v>
      </c>
      <c r="D30" s="264"/>
      <c r="E30" s="263">
        <v>0</v>
      </c>
      <c r="F30" s="309">
        <f t="shared" si="4"/>
        <v>0</v>
      </c>
      <c r="G30" s="310">
        <v>0</v>
      </c>
      <c r="H30" s="310">
        <v>0</v>
      </c>
      <c r="I30" s="310">
        <v>0</v>
      </c>
      <c r="J30" s="310">
        <v>0</v>
      </c>
      <c r="K30" s="310">
        <v>0</v>
      </c>
      <c r="L30" s="310">
        <v>0</v>
      </c>
      <c r="M30" s="311">
        <v>0</v>
      </c>
      <c r="N30" s="355"/>
    </row>
    <row r="31" spans="1:14">
      <c r="A31" s="264" t="s">
        <v>316</v>
      </c>
      <c r="B31" s="36"/>
      <c r="C31" s="44">
        <v>255</v>
      </c>
      <c r="D31" s="264"/>
      <c r="E31" s="263">
        <v>0</v>
      </c>
      <c r="F31" s="309">
        <f t="shared" si="4"/>
        <v>0</v>
      </c>
      <c r="G31" s="310">
        <v>0</v>
      </c>
      <c r="H31" s="310">
        <v>0</v>
      </c>
      <c r="I31" s="310">
        <v>0</v>
      </c>
      <c r="J31" s="310">
        <v>0</v>
      </c>
      <c r="K31" s="310">
        <v>0</v>
      </c>
      <c r="L31" s="310">
        <v>0</v>
      </c>
      <c r="M31" s="311">
        <v>0</v>
      </c>
      <c r="N31" s="355"/>
    </row>
    <row r="32" spans="1:14">
      <c r="A32" s="264" t="s">
        <v>317</v>
      </c>
      <c r="B32" s="36"/>
      <c r="C32" s="44">
        <v>256</v>
      </c>
      <c r="D32" s="264"/>
      <c r="E32" s="263">
        <v>0</v>
      </c>
      <c r="F32" s="309">
        <f t="shared" si="4"/>
        <v>0</v>
      </c>
      <c r="G32" s="310">
        <v>0</v>
      </c>
      <c r="H32" s="310">
        <v>0</v>
      </c>
      <c r="I32" s="310">
        <v>0</v>
      </c>
      <c r="J32" s="310">
        <v>0</v>
      </c>
      <c r="K32" s="310">
        <v>0</v>
      </c>
      <c r="L32" s="310">
        <v>0</v>
      </c>
      <c r="M32" s="311">
        <v>0</v>
      </c>
      <c r="N32" s="355"/>
    </row>
    <row r="33" spans="1:14">
      <c r="A33" s="264" t="s">
        <v>318</v>
      </c>
      <c r="B33" s="36"/>
      <c r="C33" s="44">
        <v>257</v>
      </c>
      <c r="D33" s="264"/>
      <c r="E33" s="263">
        <v>0</v>
      </c>
      <c r="F33" s="309">
        <f t="shared" si="4"/>
        <v>0</v>
      </c>
      <c r="G33" s="310">
        <v>0</v>
      </c>
      <c r="H33" s="310">
        <v>0</v>
      </c>
      <c r="I33" s="310">
        <v>0</v>
      </c>
      <c r="J33" s="310">
        <v>0</v>
      </c>
      <c r="K33" s="310">
        <v>0</v>
      </c>
      <c r="L33" s="310">
        <v>0</v>
      </c>
      <c r="M33" s="311">
        <v>0</v>
      </c>
      <c r="N33" s="419"/>
    </row>
    <row r="34" spans="1:14" ht="29.7">
      <c r="A34" s="264" t="s">
        <v>319</v>
      </c>
      <c r="B34" s="36"/>
      <c r="C34" s="44" t="s">
        <v>320</v>
      </c>
      <c r="D34" s="264"/>
      <c r="E34" s="263">
        <v>8</v>
      </c>
      <c r="F34" s="309">
        <f t="shared" si="4"/>
        <v>8</v>
      </c>
      <c r="G34" s="310">
        <v>0</v>
      </c>
      <c r="H34" s="310">
        <v>0</v>
      </c>
      <c r="I34" s="310">
        <v>0</v>
      </c>
      <c r="J34" s="310">
        <v>4</v>
      </c>
      <c r="K34" s="310">
        <f>8-4</f>
        <v>4</v>
      </c>
      <c r="L34" s="310">
        <v>0</v>
      </c>
      <c r="M34" s="311">
        <v>0</v>
      </c>
      <c r="N34" s="325" t="s">
        <v>1209</v>
      </c>
    </row>
    <row r="35" spans="1:14" s="381" customFormat="1" ht="29.7">
      <c r="A35" s="265" t="s">
        <v>321</v>
      </c>
      <c r="B35" s="36"/>
      <c r="C35" s="266" t="s">
        <v>322</v>
      </c>
      <c r="D35" s="265"/>
      <c r="E35" s="263">
        <v>8</v>
      </c>
      <c r="F35" s="309">
        <f>SUM(G35:M35)</f>
        <v>8</v>
      </c>
      <c r="G35" s="310">
        <v>0</v>
      </c>
      <c r="H35" s="310">
        <v>0</v>
      </c>
      <c r="I35" s="310">
        <v>0</v>
      </c>
      <c r="J35" s="310">
        <v>4</v>
      </c>
      <c r="K35" s="310">
        <f>8-4</f>
        <v>4</v>
      </c>
      <c r="L35" s="310">
        <v>0</v>
      </c>
      <c r="M35" s="311">
        <v>0</v>
      </c>
      <c r="N35" s="325" t="s">
        <v>1210</v>
      </c>
    </row>
    <row r="36" spans="1:14" ht="64.8" customHeight="1">
      <c r="A36" s="265" t="s">
        <v>323</v>
      </c>
      <c r="B36" s="390"/>
      <c r="C36" s="266" t="s">
        <v>324</v>
      </c>
      <c r="D36" s="265"/>
      <c r="E36" s="318">
        <v>0</v>
      </c>
      <c r="F36" s="309">
        <f>SUM(G36:M36)</f>
        <v>-103</v>
      </c>
      <c r="G36" s="165">
        <v>0</v>
      </c>
      <c r="H36" s="165">
        <v>0</v>
      </c>
      <c r="I36" s="165">
        <v>0</v>
      </c>
      <c r="J36" s="165">
        <v>0</v>
      </c>
      <c r="K36" s="165">
        <v>-17</v>
      </c>
      <c r="L36" s="165">
        <v>-86</v>
      </c>
      <c r="M36" s="166">
        <v>0</v>
      </c>
      <c r="N36" s="325" t="s">
        <v>1211</v>
      </c>
    </row>
    <row r="37" spans="1:14">
      <c r="A37" s="40" t="s">
        <v>326</v>
      </c>
      <c r="B37" s="265"/>
      <c r="C37" s="266"/>
      <c r="D37" s="267"/>
      <c r="E37" s="42">
        <f t="shared" ref="E37:M37" si="5">SUM(E18:E36)</f>
        <v>587</v>
      </c>
      <c r="F37" s="43">
        <f t="shared" si="5"/>
        <v>484</v>
      </c>
      <c r="G37" s="43">
        <f t="shared" si="5"/>
        <v>0</v>
      </c>
      <c r="H37" s="43">
        <f t="shared" si="5"/>
        <v>0</v>
      </c>
      <c r="I37" s="43">
        <f t="shared" si="5"/>
        <v>0</v>
      </c>
      <c r="J37" s="43">
        <f t="shared" si="5"/>
        <v>20</v>
      </c>
      <c r="K37" s="43">
        <f t="shared" si="5"/>
        <v>542</v>
      </c>
      <c r="L37" s="43">
        <f t="shared" si="5"/>
        <v>-78</v>
      </c>
      <c r="M37" s="43">
        <f t="shared" si="5"/>
        <v>0</v>
      </c>
      <c r="N37" s="355"/>
    </row>
    <row r="38" spans="1:14" s="151" customFormat="1" ht="29.7">
      <c r="A38" s="40" t="s">
        <v>327</v>
      </c>
      <c r="B38" s="51"/>
      <c r="C38" s="149"/>
      <c r="D38" s="267"/>
      <c r="E38" s="241">
        <v>0</v>
      </c>
      <c r="F38" s="240">
        <f>SUM(G38:L38)</f>
        <v>27</v>
      </c>
      <c r="G38" s="240">
        <v>0</v>
      </c>
      <c r="H38" s="240">
        <v>0</v>
      </c>
      <c r="I38" s="240">
        <v>0</v>
      </c>
      <c r="J38" s="240">
        <v>0</v>
      </c>
      <c r="K38" s="240">
        <v>0</v>
      </c>
      <c r="L38" s="240">
        <f>20+7</f>
        <v>27</v>
      </c>
      <c r="M38" s="240"/>
      <c r="N38" s="325" t="s">
        <v>1212</v>
      </c>
    </row>
    <row r="39" spans="1:14">
      <c r="A39" s="40" t="s">
        <v>328</v>
      </c>
      <c r="B39" s="46"/>
      <c r="C39" s="47"/>
      <c r="D39" s="48">
        <f>D37+D16+D13</f>
        <v>2.85</v>
      </c>
      <c r="E39" s="42">
        <f t="shared" ref="E39:M39" si="6">E37+E16+E13-E38</f>
        <v>881</v>
      </c>
      <c r="F39" s="17">
        <f t="shared" si="6"/>
        <v>708</v>
      </c>
      <c r="G39" s="17">
        <f t="shared" si="6"/>
        <v>0</v>
      </c>
      <c r="H39" s="17">
        <f t="shared" si="6"/>
        <v>0</v>
      </c>
      <c r="I39" s="17">
        <f t="shared" si="6"/>
        <v>0</v>
      </c>
      <c r="J39" s="17">
        <f t="shared" si="6"/>
        <v>20</v>
      </c>
      <c r="K39" s="17">
        <f t="shared" si="6"/>
        <v>564</v>
      </c>
      <c r="L39" s="17">
        <f t="shared" si="6"/>
        <v>124</v>
      </c>
      <c r="M39" s="17">
        <f t="shared" si="6"/>
        <v>0</v>
      </c>
      <c r="N39" s="353"/>
    </row>
    <row r="41" spans="1:14">
      <c r="A41" s="381"/>
      <c r="B41" s="381"/>
      <c r="C41" s="687"/>
      <c r="D41" s="381"/>
      <c r="E41" s="262"/>
      <c r="F41" s="381"/>
      <c r="G41" s="381"/>
      <c r="H41" s="381"/>
      <c r="I41" s="381"/>
      <c r="J41" s="381"/>
      <c r="K41" s="381"/>
      <c r="L41" s="381"/>
      <c r="M41" s="381"/>
      <c r="N41" s="381"/>
    </row>
    <row r="42" spans="1:14" s="381" customFormat="1">
      <c r="C42" s="687"/>
    </row>
    <row r="43" spans="1:14" s="381" customFormat="1">
      <c r="A43" s="740" t="s">
        <v>331</v>
      </c>
      <c r="B43" s="741"/>
      <c r="C43" s="687"/>
    </row>
    <row r="44" spans="1:14" s="381" customFormat="1">
      <c r="A44" s="584" t="s">
        <v>332</v>
      </c>
      <c r="B44" s="585">
        <f>+E39</f>
        <v>881</v>
      </c>
      <c r="C44" s="687"/>
    </row>
    <row r="45" spans="1:14" s="381" customFormat="1">
      <c r="A45" s="588" t="s">
        <v>333</v>
      </c>
      <c r="B45" s="589">
        <f>+F39</f>
        <v>708</v>
      </c>
      <c r="C45" s="687"/>
    </row>
    <row r="46" spans="1:14" s="381" customFormat="1">
      <c r="A46" s="590" t="s">
        <v>334</v>
      </c>
      <c r="B46" s="591">
        <f>B45-B44</f>
        <v>-173</v>
      </c>
      <c r="C46" s="687"/>
    </row>
    <row r="47" spans="1:14" s="381" customFormat="1">
      <c r="A47" s="590" t="s">
        <v>335</v>
      </c>
      <c r="B47" s="592">
        <f>B46/B44</f>
        <v>-0.1963677639046538</v>
      </c>
      <c r="C47" s="687"/>
    </row>
    <row r="48" spans="1:14" s="381" customFormat="1">
      <c r="A48" s="593"/>
      <c r="B48" s="587"/>
      <c r="C48" s="687"/>
      <c r="E48" s="262"/>
    </row>
    <row r="49" spans="1:8" s="381" customFormat="1" ht="15.6">
      <c r="A49" s="832" t="s">
        <v>903</v>
      </c>
      <c r="B49" s="832"/>
      <c r="C49" s="832"/>
      <c r="D49" s="832"/>
      <c r="E49" s="832"/>
      <c r="F49" s="832"/>
      <c r="G49" s="832"/>
      <c r="H49" s="832"/>
    </row>
    <row r="50" spans="1:8" s="381" customFormat="1">
      <c r="A50" s="830" t="s">
        <v>904</v>
      </c>
      <c r="B50" s="830"/>
      <c r="C50" s="830"/>
      <c r="D50" s="830"/>
      <c r="E50" s="830"/>
      <c r="F50" s="830"/>
      <c r="G50" s="830"/>
      <c r="H50" s="830"/>
    </row>
    <row r="51" spans="1:8" s="381" customFormat="1" ht="40.85" customHeight="1">
      <c r="A51" s="830" t="s">
        <v>1213</v>
      </c>
      <c r="B51" s="830"/>
      <c r="C51" s="830"/>
      <c r="D51" s="830"/>
      <c r="E51" s="830"/>
      <c r="F51" s="830"/>
      <c r="G51" s="830"/>
      <c r="H51" s="830"/>
    </row>
    <row r="52" spans="1:8" s="381" customFormat="1">
      <c r="A52" s="831"/>
      <c r="B52" s="831"/>
      <c r="C52" s="831"/>
      <c r="D52" s="831"/>
      <c r="E52" s="831"/>
      <c r="F52" s="831"/>
      <c r="G52" s="831"/>
      <c r="H52" s="831"/>
    </row>
    <row r="53" spans="1:8" s="381" customFormat="1">
      <c r="A53" s="830" t="s">
        <v>906</v>
      </c>
      <c r="B53" s="830"/>
      <c r="C53" s="830"/>
      <c r="D53" s="830"/>
      <c r="E53" s="830"/>
      <c r="F53" s="830"/>
      <c r="G53" s="830"/>
      <c r="H53" s="830"/>
    </row>
    <row r="54" spans="1:8" s="381" customFormat="1" ht="72.75" customHeight="1">
      <c r="A54" s="830" t="s">
        <v>1214</v>
      </c>
      <c r="B54" s="830"/>
      <c r="C54" s="830"/>
      <c r="D54" s="830"/>
      <c r="E54" s="830"/>
      <c r="F54" s="830"/>
      <c r="G54" s="830"/>
      <c r="H54" s="830"/>
    </row>
    <row r="55" spans="1:8" s="381" customFormat="1">
      <c r="A55" s="831"/>
      <c r="B55" s="831"/>
      <c r="C55" s="831"/>
      <c r="D55" s="831"/>
      <c r="E55" s="831"/>
      <c r="F55" s="831"/>
      <c r="G55" s="831"/>
      <c r="H55" s="831"/>
    </row>
    <row r="56" spans="1:8" s="381" customFormat="1">
      <c r="A56" s="830" t="s">
        <v>908</v>
      </c>
      <c r="B56" s="830"/>
      <c r="C56" s="830"/>
      <c r="D56" s="830"/>
      <c r="E56" s="830"/>
      <c r="F56" s="830"/>
      <c r="G56" s="830"/>
      <c r="H56" s="830"/>
    </row>
    <row r="57" spans="1:8" s="381" customFormat="1" ht="41.6" customHeight="1">
      <c r="A57" s="830" t="s">
        <v>1215</v>
      </c>
      <c r="B57" s="830"/>
      <c r="C57" s="830"/>
      <c r="D57" s="830"/>
      <c r="E57" s="830"/>
      <c r="F57" s="830"/>
      <c r="G57" s="830"/>
      <c r="H57" s="830"/>
    </row>
    <row r="58" spans="1:8" s="381" customFormat="1">
      <c r="A58" s="831" t="s">
        <v>910</v>
      </c>
      <c r="B58" s="831"/>
      <c r="C58" s="831"/>
      <c r="D58" s="831"/>
      <c r="E58" s="831"/>
      <c r="F58" s="831"/>
      <c r="G58" s="831"/>
      <c r="H58" s="831"/>
    </row>
    <row r="59" spans="1:8" s="381" customFormat="1">
      <c r="A59" s="830" t="s">
        <v>911</v>
      </c>
      <c r="B59" s="830"/>
      <c r="C59" s="830"/>
      <c r="D59" s="830"/>
      <c r="E59" s="830"/>
      <c r="F59" s="830"/>
      <c r="G59" s="830"/>
      <c r="H59" s="830"/>
    </row>
    <row r="60" spans="1:8" s="381" customFormat="1" ht="98.95" customHeight="1">
      <c r="A60" s="830" t="s">
        <v>1216</v>
      </c>
      <c r="B60" s="830"/>
      <c r="C60" s="830"/>
      <c r="D60" s="830"/>
      <c r="E60" s="830"/>
      <c r="F60" s="830"/>
      <c r="G60" s="830"/>
      <c r="H60" s="830"/>
    </row>
    <row r="61" spans="1:8" s="381" customFormat="1">
      <c r="C61" s="687"/>
    </row>
    <row r="62" spans="1:8" s="381" customFormat="1">
      <c r="C62" s="687"/>
    </row>
  </sheetData>
  <mergeCells count="14">
    <mergeCell ref="A1:N1"/>
    <mergeCell ref="A43:B43"/>
    <mergeCell ref="A49:H49"/>
    <mergeCell ref="A50:H50"/>
    <mergeCell ref="A51:H51"/>
    <mergeCell ref="A57:H57"/>
    <mergeCell ref="A58:H58"/>
    <mergeCell ref="A59:H59"/>
    <mergeCell ref="A60:H60"/>
    <mergeCell ref="A52:H52"/>
    <mergeCell ref="A53:H53"/>
    <mergeCell ref="A54:H54"/>
    <mergeCell ref="A55:H55"/>
    <mergeCell ref="A56:H56"/>
  </mergeCells>
  <printOptions horizontalCentered="1"/>
  <pageMargins left="0.2" right="0.2" top="0.5" bottom="0.5" header="0.3" footer="0.3"/>
  <pageSetup scale="70" fitToHeight="0" orientation="landscape" r:id="rId1"/>
  <headerFooter>
    <oddHeader xml:space="preserve">&amp;CDRAFT NOT FOR DISTRIBUTION, INTERNAL USE ONLY
</oddHead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FA56B-3E5E-49F4-B925-68BF9A83BF8C}">
  <sheetPr>
    <tabColor theme="2" tint="-0.249977111117893"/>
  </sheetPr>
  <dimension ref="A1:O81"/>
  <sheetViews>
    <sheetView workbookViewId="0">
      <selection sqref="A1:N1"/>
    </sheetView>
  </sheetViews>
  <sheetFormatPr defaultRowHeight="14.85"/>
  <cols>
    <col min="1" max="1" width="54" style="381" customWidth="1"/>
    <col min="2" max="2" width="17.85546875" style="381" customWidth="1"/>
    <col min="3" max="3" width="7.7109375" style="682" customWidth="1"/>
    <col min="4" max="4" width="8.7109375" style="38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ol min="14" max="14" width="45.85546875" style="565" customWidth="1"/>
    <col min="15" max="15" width="57.42578125" style="381" customWidth="1"/>
    <col min="16" max="16384" width="9.140625" style="381"/>
  </cols>
  <sheetData>
    <row r="1" spans="1:15" ht="15.6">
      <c r="A1" s="745" t="s">
        <v>346</v>
      </c>
      <c r="B1" s="745"/>
      <c r="C1" s="745"/>
      <c r="D1" s="745"/>
      <c r="E1" s="745"/>
      <c r="F1" s="745"/>
      <c r="G1" s="745"/>
      <c r="H1" s="745"/>
      <c r="I1" s="745"/>
      <c r="J1" s="745"/>
      <c r="K1" s="745"/>
      <c r="L1" s="745"/>
      <c r="M1" s="745"/>
      <c r="N1" s="745"/>
    </row>
    <row r="2" spans="1:15">
      <c r="A2" s="68" t="s">
        <v>1217</v>
      </c>
      <c r="C2" s="687"/>
    </row>
    <row r="3" spans="1:15">
      <c r="A3" s="68" t="s">
        <v>1218</v>
      </c>
      <c r="C3" s="687"/>
      <c r="E3" s="683"/>
      <c r="F3" s="554" t="s">
        <v>275</v>
      </c>
    </row>
    <row r="4" spans="1:15">
      <c r="A4" s="68" t="s">
        <v>1219</v>
      </c>
      <c r="B4" s="31"/>
      <c r="C4" s="32"/>
      <c r="D4" s="31"/>
      <c r="E4" s="31"/>
    </row>
    <row r="5" spans="1:15" ht="38.6">
      <c r="A5" s="33"/>
      <c r="B5" s="33" t="s">
        <v>277</v>
      </c>
      <c r="C5" s="1" t="s">
        <v>278</v>
      </c>
      <c r="D5" s="2" t="s">
        <v>350</v>
      </c>
      <c r="E5" s="34" t="s">
        <v>480</v>
      </c>
      <c r="F5" s="35" t="s">
        <v>481</v>
      </c>
      <c r="G5" s="35" t="s">
        <v>0</v>
      </c>
      <c r="H5" s="35" t="s">
        <v>1</v>
      </c>
      <c r="I5" s="35" t="s">
        <v>2</v>
      </c>
      <c r="J5" s="35" t="s">
        <v>3</v>
      </c>
      <c r="K5" s="35" t="s">
        <v>4</v>
      </c>
      <c r="L5" s="35" t="s">
        <v>34</v>
      </c>
      <c r="M5" s="2" t="s">
        <v>283</v>
      </c>
      <c r="N5" s="35" t="s">
        <v>844</v>
      </c>
    </row>
    <row r="6" spans="1:15">
      <c r="A6" s="127" t="s">
        <v>285</v>
      </c>
      <c r="B6" s="128"/>
      <c r="C6" s="129"/>
      <c r="D6" s="128"/>
      <c r="E6" s="128"/>
      <c r="F6" s="89"/>
      <c r="G6" s="89"/>
      <c r="H6" s="89"/>
      <c r="I6" s="89"/>
      <c r="J6" s="89"/>
      <c r="K6" s="89"/>
      <c r="L6" s="89"/>
      <c r="M6" s="89"/>
      <c r="N6" s="130"/>
    </row>
    <row r="7" spans="1:15">
      <c r="A7" s="57" t="s">
        <v>1220</v>
      </c>
      <c r="B7" s="57" t="s">
        <v>1221</v>
      </c>
      <c r="C7" s="641" t="s">
        <v>287</v>
      </c>
      <c r="D7" s="38"/>
      <c r="E7" s="263">
        <v>176</v>
      </c>
      <c r="F7" s="309">
        <f>SUM(G7:M7)</f>
        <v>0</v>
      </c>
      <c r="G7" s="310">
        <v>0</v>
      </c>
      <c r="H7" s="310">
        <v>0</v>
      </c>
      <c r="I7" s="310">
        <v>0</v>
      </c>
      <c r="J7" s="310">
        <v>0</v>
      </c>
      <c r="K7" s="310">
        <v>0</v>
      </c>
      <c r="L7" s="310">
        <v>0</v>
      </c>
      <c r="M7" s="311">
        <v>0</v>
      </c>
      <c r="N7" s="325" t="s">
        <v>1222</v>
      </c>
    </row>
    <row r="8" spans="1:15">
      <c r="A8" s="57" t="s">
        <v>1223</v>
      </c>
      <c r="B8" s="57" t="s">
        <v>864</v>
      </c>
      <c r="C8" s="641" t="s">
        <v>287</v>
      </c>
      <c r="D8" s="39">
        <v>1</v>
      </c>
      <c r="E8" s="263">
        <v>166</v>
      </c>
      <c r="F8" s="309">
        <f>SUM(G8:M8)</f>
        <v>144</v>
      </c>
      <c r="G8" s="310">
        <v>0</v>
      </c>
      <c r="H8" s="310">
        <v>0</v>
      </c>
      <c r="I8" s="310">
        <v>0</v>
      </c>
      <c r="J8" s="310">
        <v>0</v>
      </c>
      <c r="K8" s="310">
        <v>144</v>
      </c>
      <c r="L8" s="310">
        <v>0</v>
      </c>
      <c r="M8" s="311">
        <v>0</v>
      </c>
      <c r="N8" s="325"/>
      <c r="O8" s="381">
        <f>165/2</f>
        <v>82.5</v>
      </c>
    </row>
    <row r="9" spans="1:15">
      <c r="A9" s="57" t="s">
        <v>1224</v>
      </c>
      <c r="B9" s="555" t="s">
        <v>864</v>
      </c>
      <c r="C9" s="641" t="s">
        <v>287</v>
      </c>
      <c r="D9" s="39">
        <v>1</v>
      </c>
      <c r="E9" s="263">
        <v>166</v>
      </c>
      <c r="F9" s="309">
        <f>SUM(G9:M9)</f>
        <v>144</v>
      </c>
      <c r="G9" s="310">
        <v>0</v>
      </c>
      <c r="H9" s="310">
        <v>0</v>
      </c>
      <c r="I9" s="310">
        <v>0</v>
      </c>
      <c r="J9" s="310">
        <v>0</v>
      </c>
      <c r="K9" s="310">
        <v>144</v>
      </c>
      <c r="L9" s="310">
        <v>0</v>
      </c>
      <c r="M9" s="311">
        <v>0</v>
      </c>
      <c r="N9" s="325"/>
    </row>
    <row r="10" spans="1:15">
      <c r="A10" s="57" t="s">
        <v>1225</v>
      </c>
      <c r="B10" s="555" t="s">
        <v>864</v>
      </c>
      <c r="C10" s="641" t="s">
        <v>287</v>
      </c>
      <c r="D10" s="39">
        <v>1</v>
      </c>
      <c r="E10" s="263">
        <v>166</v>
      </c>
      <c r="F10" s="309">
        <f>SUM(G10:M10)</f>
        <v>144</v>
      </c>
      <c r="G10" s="310">
        <v>0</v>
      </c>
      <c r="H10" s="310">
        <v>0</v>
      </c>
      <c r="I10" s="310">
        <v>0</v>
      </c>
      <c r="J10" s="310">
        <v>0</v>
      </c>
      <c r="K10" s="310">
        <v>144</v>
      </c>
      <c r="L10" s="310">
        <v>0</v>
      </c>
      <c r="M10" s="311">
        <v>0</v>
      </c>
      <c r="N10" s="325"/>
    </row>
    <row r="11" spans="1:15">
      <c r="A11" s="57" t="s">
        <v>551</v>
      </c>
      <c r="B11" s="632"/>
      <c r="C11" s="641" t="s">
        <v>287</v>
      </c>
      <c r="D11" s="39"/>
      <c r="E11" s="263"/>
      <c r="F11" s="309">
        <f t="shared" ref="F11:F12" si="0">SUM(G11:M11)</f>
        <v>0</v>
      </c>
      <c r="G11" s="310">
        <v>0</v>
      </c>
      <c r="H11" s="310">
        <v>0</v>
      </c>
      <c r="I11" s="310">
        <v>0</v>
      </c>
      <c r="J11" s="310">
        <v>0</v>
      </c>
      <c r="K11" s="310">
        <v>0</v>
      </c>
      <c r="L11" s="310">
        <v>0</v>
      </c>
      <c r="M11" s="311">
        <v>0</v>
      </c>
      <c r="N11" s="325"/>
    </row>
    <row r="12" spans="1:15">
      <c r="A12" s="57" t="s">
        <v>551</v>
      </c>
      <c r="B12" s="632"/>
      <c r="C12" s="641" t="s">
        <v>287</v>
      </c>
      <c r="D12" s="39">
        <v>0</v>
      </c>
      <c r="E12" s="263"/>
      <c r="F12" s="309">
        <f t="shared" si="0"/>
        <v>0</v>
      </c>
      <c r="G12" s="310">
        <v>0</v>
      </c>
      <c r="H12" s="310">
        <v>0</v>
      </c>
      <c r="I12" s="310">
        <v>0</v>
      </c>
      <c r="J12" s="310">
        <v>0</v>
      </c>
      <c r="K12" s="310">
        <v>0</v>
      </c>
      <c r="L12" s="310">
        <v>0</v>
      </c>
      <c r="M12" s="311">
        <v>0</v>
      </c>
      <c r="N12" s="325"/>
    </row>
    <row r="13" spans="1:15">
      <c r="A13" s="665" t="s">
        <v>288</v>
      </c>
      <c r="B13" s="632"/>
      <c r="C13" s="664"/>
      <c r="D13" s="41">
        <f t="shared" ref="D13:M13" si="1">SUM(D7:D12)</f>
        <v>3</v>
      </c>
      <c r="E13" s="42">
        <f t="shared" si="1"/>
        <v>674</v>
      </c>
      <c r="F13" s="43">
        <f t="shared" si="1"/>
        <v>432</v>
      </c>
      <c r="G13" s="43">
        <f t="shared" si="1"/>
        <v>0</v>
      </c>
      <c r="H13" s="43">
        <f t="shared" si="1"/>
        <v>0</v>
      </c>
      <c r="I13" s="43">
        <f t="shared" si="1"/>
        <v>0</v>
      </c>
      <c r="J13" s="43">
        <f t="shared" si="1"/>
        <v>0</v>
      </c>
      <c r="K13" s="43">
        <f t="shared" si="1"/>
        <v>432</v>
      </c>
      <c r="L13" s="43">
        <f t="shared" si="1"/>
        <v>0</v>
      </c>
      <c r="M13" s="43">
        <f t="shared" si="1"/>
        <v>0</v>
      </c>
      <c r="N13" s="325"/>
    </row>
    <row r="14" spans="1:15">
      <c r="A14" s="127" t="s">
        <v>289</v>
      </c>
      <c r="B14" s="128"/>
      <c r="C14" s="129"/>
      <c r="D14" s="128"/>
      <c r="E14" s="128"/>
      <c r="F14" s="89"/>
      <c r="G14" s="89"/>
      <c r="H14" s="89"/>
      <c r="I14" s="89"/>
      <c r="J14" s="89"/>
      <c r="K14" s="89"/>
      <c r="L14" s="89"/>
      <c r="M14" s="89"/>
      <c r="N14" s="130"/>
    </row>
    <row r="15" spans="1:15">
      <c r="A15" s="555" t="s">
        <v>1226</v>
      </c>
      <c r="B15" s="555"/>
      <c r="C15" s="628">
        <v>252</v>
      </c>
      <c r="D15" s="45"/>
      <c r="E15" s="263">
        <v>30</v>
      </c>
      <c r="F15" s="309">
        <f>SUM(G15:M15)</f>
        <v>0</v>
      </c>
      <c r="G15" s="310">
        <v>0</v>
      </c>
      <c r="H15" s="310">
        <v>0</v>
      </c>
      <c r="I15" s="310">
        <v>0</v>
      </c>
      <c r="J15" s="310">
        <v>0</v>
      </c>
      <c r="K15" s="310">
        <v>0</v>
      </c>
      <c r="L15" s="310">
        <v>0</v>
      </c>
      <c r="M15" s="311">
        <v>0</v>
      </c>
      <c r="N15" s="325"/>
    </row>
    <row r="16" spans="1:15">
      <c r="A16" s="555" t="s">
        <v>293</v>
      </c>
      <c r="B16" s="555"/>
      <c r="C16" s="628">
        <v>253</v>
      </c>
      <c r="D16" s="45"/>
      <c r="E16" s="263"/>
      <c r="F16" s="309">
        <f>SUM(G16:M16)</f>
        <v>0</v>
      </c>
      <c r="G16" s="310">
        <v>0</v>
      </c>
      <c r="H16" s="310">
        <v>0</v>
      </c>
      <c r="I16" s="310">
        <v>0</v>
      </c>
      <c r="J16" s="310">
        <v>0</v>
      </c>
      <c r="K16" s="310">
        <v>0</v>
      </c>
      <c r="L16" s="310">
        <v>0</v>
      </c>
      <c r="M16" s="311">
        <v>0</v>
      </c>
      <c r="N16" s="325"/>
    </row>
    <row r="17" spans="1:15">
      <c r="A17" s="555" t="s">
        <v>379</v>
      </c>
      <c r="B17" s="555"/>
      <c r="C17" s="628">
        <v>253</v>
      </c>
      <c r="D17" s="45"/>
      <c r="E17" s="263"/>
      <c r="F17" s="309">
        <f>SUM(G17:M17)</f>
        <v>0</v>
      </c>
      <c r="G17" s="310">
        <v>0</v>
      </c>
      <c r="H17" s="157"/>
      <c r="I17" s="310">
        <v>0</v>
      </c>
      <c r="J17" s="310">
        <v>0</v>
      </c>
      <c r="K17" s="310">
        <v>0</v>
      </c>
      <c r="L17" s="310">
        <v>0</v>
      </c>
      <c r="M17" s="311">
        <v>0</v>
      </c>
      <c r="N17" s="325"/>
    </row>
    <row r="18" spans="1:15">
      <c r="A18" s="555" t="s">
        <v>293</v>
      </c>
      <c r="B18" s="555"/>
      <c r="C18" s="628">
        <v>253</v>
      </c>
      <c r="D18" s="45"/>
      <c r="E18" s="263"/>
      <c r="F18" s="309">
        <f>SUM(G18:M18)</f>
        <v>0</v>
      </c>
      <c r="G18" s="310">
        <v>0</v>
      </c>
      <c r="H18" s="310">
        <v>0</v>
      </c>
      <c r="I18" s="310">
        <v>0</v>
      </c>
      <c r="J18" s="310">
        <v>0</v>
      </c>
      <c r="K18" s="310">
        <v>0</v>
      </c>
      <c r="L18" s="310">
        <v>0</v>
      </c>
      <c r="M18" s="311">
        <v>0</v>
      </c>
      <c r="N18" s="325"/>
    </row>
    <row r="19" spans="1:15">
      <c r="A19" s="665" t="s">
        <v>294</v>
      </c>
      <c r="B19" s="632"/>
      <c r="C19" s="664"/>
      <c r="D19" s="267">
        <f>SUM(D16:D18)</f>
        <v>0</v>
      </c>
      <c r="E19" s="42">
        <f t="shared" ref="E19:M19" si="2">SUM(E15:E18)</f>
        <v>30</v>
      </c>
      <c r="F19" s="43">
        <f t="shared" si="2"/>
        <v>0</v>
      </c>
      <c r="G19" s="43">
        <f t="shared" si="2"/>
        <v>0</v>
      </c>
      <c r="H19" s="43">
        <f t="shared" si="2"/>
        <v>0</v>
      </c>
      <c r="I19" s="43">
        <f t="shared" si="2"/>
        <v>0</v>
      </c>
      <c r="J19" s="43">
        <f t="shared" si="2"/>
        <v>0</v>
      </c>
      <c r="K19" s="43">
        <f t="shared" si="2"/>
        <v>0</v>
      </c>
      <c r="L19" s="43">
        <f t="shared" si="2"/>
        <v>0</v>
      </c>
      <c r="M19" s="43">
        <f t="shared" si="2"/>
        <v>0</v>
      </c>
      <c r="N19" s="325"/>
    </row>
    <row r="20" spans="1:15">
      <c r="A20" s="127" t="s">
        <v>356</v>
      </c>
      <c r="B20" s="128"/>
      <c r="C20" s="129"/>
      <c r="D20" s="128"/>
      <c r="E20" s="128"/>
      <c r="F20" s="89"/>
      <c r="G20" s="89"/>
      <c r="H20" s="89"/>
      <c r="I20" s="89"/>
      <c r="J20" s="89"/>
      <c r="K20" s="89"/>
      <c r="L20" s="89"/>
      <c r="M20" s="89"/>
      <c r="N20" s="130"/>
    </row>
    <row r="21" spans="1:15">
      <c r="A21" s="555" t="s">
        <v>296</v>
      </c>
      <c r="B21" s="57"/>
      <c r="C21" s="641" t="s">
        <v>297</v>
      </c>
      <c r="D21" s="38">
        <v>0</v>
      </c>
      <c r="E21" s="263">
        <v>30</v>
      </c>
      <c r="F21" s="309">
        <f t="shared" ref="F21:F36" si="3">SUM(G21:M21)</f>
        <v>30</v>
      </c>
      <c r="G21" s="310">
        <v>0</v>
      </c>
      <c r="H21" s="310">
        <v>0</v>
      </c>
      <c r="I21" s="310">
        <v>0</v>
      </c>
      <c r="J21" s="310">
        <v>0</v>
      </c>
      <c r="K21" s="310">
        <v>30</v>
      </c>
      <c r="L21" s="310">
        <v>0</v>
      </c>
      <c r="M21" s="311">
        <v>0</v>
      </c>
      <c r="N21" s="325"/>
      <c r="O21" s="381">
        <f>2500*8</f>
        <v>20000</v>
      </c>
    </row>
    <row r="22" spans="1:15" ht="59.4">
      <c r="A22" s="555" t="s">
        <v>1227</v>
      </c>
      <c r="B22" s="57"/>
      <c r="C22" s="641" t="s">
        <v>297</v>
      </c>
      <c r="D22" s="38"/>
      <c r="E22" s="263">
        <v>25</v>
      </c>
      <c r="F22" s="309">
        <f t="shared" si="3"/>
        <v>0</v>
      </c>
      <c r="G22" s="310">
        <v>0</v>
      </c>
      <c r="H22" s="310">
        <v>0</v>
      </c>
      <c r="I22" s="310">
        <v>0</v>
      </c>
      <c r="J22" s="310">
        <v>0</v>
      </c>
      <c r="K22" s="310">
        <v>0</v>
      </c>
      <c r="L22" s="310">
        <v>0</v>
      </c>
      <c r="M22" s="311">
        <v>0</v>
      </c>
      <c r="N22" s="325" t="s">
        <v>1228</v>
      </c>
    </row>
    <row r="23" spans="1:15">
      <c r="A23" s="555" t="s">
        <v>298</v>
      </c>
      <c r="B23" s="57"/>
      <c r="C23" s="628" t="s">
        <v>299</v>
      </c>
      <c r="D23" s="45"/>
      <c r="E23" s="263">
        <v>2</v>
      </c>
      <c r="F23" s="309">
        <f t="shared" si="3"/>
        <v>0</v>
      </c>
      <c r="G23" s="310">
        <v>0</v>
      </c>
      <c r="H23" s="310">
        <v>0</v>
      </c>
      <c r="I23" s="310">
        <v>0</v>
      </c>
      <c r="J23" s="310">
        <v>0</v>
      </c>
      <c r="K23" s="310">
        <v>0</v>
      </c>
      <c r="L23" s="310">
        <v>0</v>
      </c>
      <c r="M23" s="311">
        <v>0</v>
      </c>
      <c r="N23" s="325"/>
    </row>
    <row r="24" spans="1:15">
      <c r="A24" s="555" t="s">
        <v>300</v>
      </c>
      <c r="B24" s="57"/>
      <c r="C24" s="628" t="s">
        <v>301</v>
      </c>
      <c r="D24" s="45"/>
      <c r="E24" s="263"/>
      <c r="F24" s="309">
        <f t="shared" si="3"/>
        <v>0</v>
      </c>
      <c r="G24" s="310">
        <v>0</v>
      </c>
      <c r="H24" s="310">
        <v>0</v>
      </c>
      <c r="I24" s="310">
        <v>0</v>
      </c>
      <c r="J24" s="310">
        <v>0</v>
      </c>
      <c r="K24" s="310">
        <v>0</v>
      </c>
      <c r="L24" s="310">
        <v>0</v>
      </c>
      <c r="M24" s="311">
        <v>0</v>
      </c>
      <c r="N24" s="325"/>
    </row>
    <row r="25" spans="1:15" ht="15.05" customHeight="1">
      <c r="A25" s="555" t="s">
        <v>302</v>
      </c>
      <c r="B25" s="57"/>
      <c r="C25" s="628" t="s">
        <v>303</v>
      </c>
      <c r="D25" s="45"/>
      <c r="E25" s="263">
        <v>2</v>
      </c>
      <c r="F25" s="309">
        <f t="shared" si="3"/>
        <v>0</v>
      </c>
      <c r="G25" s="310">
        <v>0</v>
      </c>
      <c r="H25" s="310">
        <v>0</v>
      </c>
      <c r="I25" s="310">
        <v>0</v>
      </c>
      <c r="J25" s="310">
        <v>0</v>
      </c>
      <c r="K25" s="310">
        <v>0</v>
      </c>
      <c r="L25" s="310">
        <v>0</v>
      </c>
      <c r="M25" s="311">
        <v>0</v>
      </c>
      <c r="N25" s="325"/>
    </row>
    <row r="26" spans="1:15">
      <c r="A26" s="555" t="s">
        <v>304</v>
      </c>
      <c r="B26" s="57"/>
      <c r="C26" s="628">
        <v>251</v>
      </c>
      <c r="D26" s="45"/>
      <c r="E26" s="263"/>
      <c r="F26" s="309">
        <f t="shared" si="3"/>
        <v>0</v>
      </c>
      <c r="G26" s="310">
        <v>0</v>
      </c>
      <c r="H26" s="310">
        <v>0</v>
      </c>
      <c r="I26" s="310">
        <v>0</v>
      </c>
      <c r="J26" s="310">
        <v>0</v>
      </c>
      <c r="K26" s="310">
        <v>0</v>
      </c>
      <c r="L26" s="310">
        <v>0</v>
      </c>
      <c r="M26" s="311">
        <v>0</v>
      </c>
      <c r="N26" s="325"/>
    </row>
    <row r="27" spans="1:15">
      <c r="A27" s="555" t="s">
        <v>1229</v>
      </c>
      <c r="B27" s="57"/>
      <c r="C27" s="628">
        <v>251</v>
      </c>
      <c r="D27" s="45"/>
      <c r="E27" s="263">
        <v>300</v>
      </c>
      <c r="F27" s="309">
        <f t="shared" si="3"/>
        <v>0</v>
      </c>
      <c r="G27" s="310">
        <v>0</v>
      </c>
      <c r="H27" s="310">
        <v>0</v>
      </c>
      <c r="I27" s="310">
        <v>0</v>
      </c>
      <c r="J27" s="310">
        <v>0</v>
      </c>
      <c r="K27" s="310">
        <v>0</v>
      </c>
      <c r="L27" s="310">
        <v>0</v>
      </c>
      <c r="M27" s="311">
        <v>0</v>
      </c>
      <c r="N27" s="325"/>
    </row>
    <row r="28" spans="1:15">
      <c r="A28" s="555" t="s">
        <v>848</v>
      </c>
      <c r="B28" s="57"/>
      <c r="C28" s="628">
        <v>252</v>
      </c>
      <c r="D28" s="45"/>
      <c r="E28" s="263"/>
      <c r="F28" s="309">
        <f t="shared" si="3"/>
        <v>0</v>
      </c>
      <c r="G28" s="310">
        <v>0</v>
      </c>
      <c r="H28" s="310">
        <v>0</v>
      </c>
      <c r="I28" s="310">
        <v>0</v>
      </c>
      <c r="J28" s="310">
        <v>0</v>
      </c>
      <c r="K28" s="310">
        <v>0</v>
      </c>
      <c r="L28" s="310">
        <v>0</v>
      </c>
      <c r="M28" s="311">
        <v>0</v>
      </c>
      <c r="N28" s="325"/>
    </row>
    <row r="29" spans="1:15">
      <c r="A29" s="555" t="s">
        <v>314</v>
      </c>
      <c r="B29" s="57"/>
      <c r="C29" s="628">
        <v>252</v>
      </c>
      <c r="D29" s="45"/>
      <c r="E29" s="263">
        <v>10</v>
      </c>
      <c r="F29" s="309">
        <f t="shared" si="3"/>
        <v>10</v>
      </c>
      <c r="G29" s="310">
        <v>0</v>
      </c>
      <c r="H29" s="310">
        <v>0</v>
      </c>
      <c r="I29" s="310">
        <v>0</v>
      </c>
      <c r="J29" s="310">
        <v>0</v>
      </c>
      <c r="K29" s="310">
        <v>10</v>
      </c>
      <c r="L29" s="310">
        <v>0</v>
      </c>
      <c r="M29" s="311">
        <v>0</v>
      </c>
      <c r="N29" s="325"/>
    </row>
    <row r="30" spans="1:15">
      <c r="A30" s="555" t="s">
        <v>317</v>
      </c>
      <c r="B30" s="57"/>
      <c r="C30" s="628">
        <v>256</v>
      </c>
      <c r="D30" s="555"/>
      <c r="E30" s="263"/>
      <c r="F30" s="309">
        <f t="shared" si="3"/>
        <v>0</v>
      </c>
      <c r="G30" s="310">
        <v>0</v>
      </c>
      <c r="H30" s="310">
        <v>0</v>
      </c>
      <c r="I30" s="310">
        <v>0</v>
      </c>
      <c r="J30" s="310">
        <v>0</v>
      </c>
      <c r="K30" s="310">
        <v>0</v>
      </c>
      <c r="L30" s="310">
        <v>0</v>
      </c>
      <c r="M30" s="311">
        <v>0</v>
      </c>
      <c r="N30" s="325"/>
    </row>
    <row r="31" spans="1:15">
      <c r="A31" s="555" t="s">
        <v>318</v>
      </c>
      <c r="B31" s="57"/>
      <c r="C31" s="628">
        <v>257</v>
      </c>
      <c r="D31" s="555"/>
      <c r="E31" s="263"/>
      <c r="F31" s="309">
        <f t="shared" si="3"/>
        <v>0</v>
      </c>
      <c r="G31" s="310">
        <v>0</v>
      </c>
      <c r="H31" s="310">
        <v>0</v>
      </c>
      <c r="I31" s="310">
        <v>0</v>
      </c>
      <c r="J31" s="310">
        <v>0</v>
      </c>
      <c r="K31" s="310">
        <v>0</v>
      </c>
      <c r="L31" s="310">
        <v>0</v>
      </c>
      <c r="M31" s="311">
        <v>0</v>
      </c>
      <c r="N31" s="325"/>
    </row>
    <row r="32" spans="1:15">
      <c r="A32" s="555" t="s">
        <v>319</v>
      </c>
      <c r="B32" s="57"/>
      <c r="C32" s="628" t="s">
        <v>320</v>
      </c>
      <c r="D32" s="555"/>
      <c r="E32" s="263">
        <v>1</v>
      </c>
      <c r="F32" s="309">
        <f t="shared" si="3"/>
        <v>2</v>
      </c>
      <c r="G32" s="310">
        <v>0</v>
      </c>
      <c r="H32" s="310">
        <v>0</v>
      </c>
      <c r="I32" s="310">
        <v>0</v>
      </c>
      <c r="J32" s="310">
        <v>0</v>
      </c>
      <c r="K32" s="310">
        <v>2</v>
      </c>
      <c r="L32" s="310">
        <v>0</v>
      </c>
      <c r="M32" s="311">
        <v>0</v>
      </c>
      <c r="N32" s="325"/>
    </row>
    <row r="33" spans="1:14">
      <c r="A33" s="632" t="s">
        <v>321</v>
      </c>
      <c r="B33" s="57"/>
      <c r="C33" s="664" t="s">
        <v>322</v>
      </c>
      <c r="D33" s="632"/>
      <c r="E33" s="263">
        <v>3</v>
      </c>
      <c r="F33" s="309">
        <f t="shared" si="3"/>
        <v>3</v>
      </c>
      <c r="G33" s="310">
        <v>0</v>
      </c>
      <c r="H33" s="310">
        <v>0</v>
      </c>
      <c r="I33" s="310">
        <v>0</v>
      </c>
      <c r="J33" s="310">
        <v>0</v>
      </c>
      <c r="K33" s="310">
        <v>3</v>
      </c>
      <c r="L33" s="310">
        <v>0</v>
      </c>
      <c r="M33" s="311">
        <v>0</v>
      </c>
      <c r="N33" s="325"/>
    </row>
    <row r="34" spans="1:14" ht="26">
      <c r="A34" s="671" t="s">
        <v>1230</v>
      </c>
      <c r="B34" s="672"/>
      <c r="C34" s="664">
        <v>252</v>
      </c>
      <c r="D34" s="632"/>
      <c r="E34" s="318">
        <v>196</v>
      </c>
      <c r="F34" s="309">
        <f t="shared" si="3"/>
        <v>110</v>
      </c>
      <c r="G34" s="319"/>
      <c r="H34" s="319"/>
      <c r="I34" s="319"/>
      <c r="J34" s="319"/>
      <c r="K34" s="319">
        <v>110</v>
      </c>
      <c r="L34" s="319"/>
      <c r="M34" s="320">
        <v>0</v>
      </c>
      <c r="N34" s="325"/>
    </row>
    <row r="35" spans="1:14">
      <c r="A35" s="632" t="s">
        <v>1231</v>
      </c>
      <c r="B35" s="672"/>
      <c r="C35" s="664"/>
      <c r="D35" s="632"/>
      <c r="E35" s="318">
        <v>15</v>
      </c>
      <c r="F35" s="309">
        <f t="shared" si="3"/>
        <v>120</v>
      </c>
      <c r="G35" s="319"/>
      <c r="H35" s="319"/>
      <c r="I35" s="319"/>
      <c r="J35" s="319"/>
      <c r="K35" s="319">
        <v>120</v>
      </c>
      <c r="L35" s="319"/>
      <c r="M35" s="320">
        <v>0</v>
      </c>
      <c r="N35" s="325"/>
    </row>
    <row r="36" spans="1:14" ht="29.7">
      <c r="A36" s="632" t="s">
        <v>323</v>
      </c>
      <c r="B36" s="672"/>
      <c r="C36" s="664" t="s">
        <v>324</v>
      </c>
      <c r="D36" s="632"/>
      <c r="E36" s="318">
        <v>-606</v>
      </c>
      <c r="F36" s="309">
        <f t="shared" si="3"/>
        <v>0</v>
      </c>
      <c r="G36" s="319"/>
      <c r="H36" s="319"/>
      <c r="I36" s="319"/>
      <c r="J36" s="319"/>
      <c r="K36" s="319">
        <f>-271+212+59</f>
        <v>0</v>
      </c>
      <c r="L36" s="319"/>
      <c r="M36" s="320"/>
      <c r="N36" s="325" t="s">
        <v>1232</v>
      </c>
    </row>
    <row r="37" spans="1:14">
      <c r="A37" s="665" t="s">
        <v>326</v>
      </c>
      <c r="B37" s="632"/>
      <c r="C37" s="664"/>
      <c r="D37" s="267"/>
      <c r="E37" s="42">
        <f>SUM(E21:E36)</f>
        <v>-22</v>
      </c>
      <c r="F37" s="43">
        <f>SUM(F21:F36)</f>
        <v>275</v>
      </c>
      <c r="G37" s="43">
        <f>SUM(G21:G33)</f>
        <v>0</v>
      </c>
      <c r="H37" s="43">
        <f>SUM(H21:H33)</f>
        <v>0</v>
      </c>
      <c r="I37" s="43">
        <f>SUM(I21:I33)</f>
        <v>0</v>
      </c>
      <c r="J37" s="43">
        <f>SUM(J21:J33)</f>
        <v>0</v>
      </c>
      <c r="K37" s="43">
        <f>SUM(K21:K36)</f>
        <v>275</v>
      </c>
      <c r="L37" s="43">
        <f>SUM(L21:L33)</f>
        <v>0</v>
      </c>
      <c r="M37" s="43">
        <f>SUM(M21:M35)</f>
        <v>0</v>
      </c>
      <c r="N37" s="325"/>
    </row>
    <row r="38" spans="1:14">
      <c r="A38" s="665" t="s">
        <v>327</v>
      </c>
      <c r="B38" s="673"/>
      <c r="C38" s="674"/>
      <c r="D38" s="267"/>
      <c r="E38" s="42"/>
      <c r="F38" s="240"/>
      <c r="G38" s="240"/>
      <c r="H38" s="240"/>
      <c r="I38" s="240"/>
      <c r="J38" s="240"/>
      <c r="K38" s="240"/>
      <c r="L38" s="240"/>
      <c r="M38" s="43"/>
      <c r="N38" s="325"/>
    </row>
    <row r="39" spans="1:14">
      <c r="A39" s="665" t="s">
        <v>328</v>
      </c>
      <c r="B39" s="675"/>
      <c r="C39" s="676"/>
      <c r="D39" s="48">
        <f>D37+D19+D13+D38</f>
        <v>3</v>
      </c>
      <c r="E39" s="42">
        <f t="shared" ref="E39:M39" si="4">E37+E19+E13-E38</f>
        <v>682</v>
      </c>
      <c r="F39" s="17">
        <f t="shared" si="4"/>
        <v>707</v>
      </c>
      <c r="G39" s="17">
        <f t="shared" si="4"/>
        <v>0</v>
      </c>
      <c r="H39" s="17">
        <f t="shared" si="4"/>
        <v>0</v>
      </c>
      <c r="I39" s="17">
        <f t="shared" si="4"/>
        <v>0</v>
      </c>
      <c r="J39" s="17">
        <f t="shared" si="4"/>
        <v>0</v>
      </c>
      <c r="K39" s="17">
        <f t="shared" si="4"/>
        <v>707</v>
      </c>
      <c r="L39" s="17">
        <f t="shared" si="4"/>
        <v>0</v>
      </c>
      <c r="M39" s="17">
        <f t="shared" si="4"/>
        <v>0</v>
      </c>
      <c r="N39" s="352"/>
    </row>
    <row r="40" spans="1:14">
      <c r="B40" s="269" t="s">
        <v>391</v>
      </c>
      <c r="C40" s="179"/>
      <c r="D40" s="180"/>
      <c r="E40" s="269">
        <f>E39-C44-E41</f>
        <v>100</v>
      </c>
      <c r="F40" s="269">
        <f>F39-B44-(F41/2)</f>
        <v>197.5</v>
      </c>
      <c r="G40" s="31"/>
      <c r="H40" s="31"/>
      <c r="I40" s="31"/>
      <c r="J40" s="31"/>
      <c r="K40" s="31"/>
      <c r="L40" s="31"/>
      <c r="M40" s="31"/>
      <c r="N40" s="562"/>
    </row>
    <row r="41" spans="1:14">
      <c r="B41" s="668" t="s">
        <v>1233</v>
      </c>
      <c r="C41" s="669"/>
      <c r="D41" s="670"/>
      <c r="E41" s="668"/>
      <c r="F41" s="269">
        <f>170+116+26</f>
        <v>312</v>
      </c>
      <c r="G41" s="31"/>
      <c r="H41" s="31"/>
      <c r="I41" s="31"/>
      <c r="J41" s="31"/>
      <c r="K41" s="31"/>
      <c r="L41" s="31"/>
      <c r="M41" s="31"/>
      <c r="N41" s="562"/>
    </row>
    <row r="42" spans="1:14">
      <c r="C42" s="687"/>
      <c r="G42" s="31"/>
      <c r="H42" s="31"/>
      <c r="I42" s="31"/>
      <c r="J42" s="31"/>
      <c r="K42" s="31"/>
      <c r="L42" s="31"/>
      <c r="M42" s="31"/>
      <c r="N42" s="562"/>
    </row>
    <row r="43" spans="1:14">
      <c r="A43" s="56" t="s">
        <v>392</v>
      </c>
      <c r="B43" s="389" t="s">
        <v>393</v>
      </c>
      <c r="C43" s="31" t="s">
        <v>359</v>
      </c>
      <c r="D43" s="31"/>
      <c r="E43" s="31"/>
      <c r="F43" s="31"/>
      <c r="G43" s="31"/>
      <c r="H43" s="31" t="s">
        <v>1234</v>
      </c>
      <c r="I43" s="31"/>
      <c r="J43" s="31"/>
      <c r="K43" s="31"/>
      <c r="L43" s="31"/>
      <c r="M43" s="31"/>
      <c r="N43" s="562"/>
    </row>
    <row r="44" spans="1:14">
      <c r="A44" s="57" t="s">
        <v>394</v>
      </c>
      <c r="B44" s="58">
        <f>+F39/2</f>
        <v>353.5</v>
      </c>
      <c r="C44" s="58">
        <v>582</v>
      </c>
      <c r="D44" s="31"/>
      <c r="E44" s="31"/>
      <c r="F44" s="31"/>
      <c r="H44" s="381" t="s">
        <v>1073</v>
      </c>
      <c r="J44" s="289" t="s">
        <v>1074</v>
      </c>
      <c r="K44" s="381" t="s">
        <v>1079</v>
      </c>
    </row>
    <row r="45" spans="1:14">
      <c r="A45" s="555" t="s">
        <v>1235</v>
      </c>
      <c r="B45" s="59">
        <f>+M39+(F41/2)</f>
        <v>156</v>
      </c>
      <c r="C45" s="59">
        <v>582</v>
      </c>
      <c r="D45" s="31"/>
      <c r="E45" s="31"/>
      <c r="F45" s="31"/>
      <c r="H45" s="381" t="s">
        <v>32</v>
      </c>
      <c r="J45" s="394">
        <f>'Prep%Fuelspercentage.direct'!B38*(F40+F38)</f>
        <v>120.88974999999999</v>
      </c>
      <c r="K45" s="394">
        <f>+F40-K46</f>
        <v>132.5</v>
      </c>
      <c r="L45" s="394">
        <f>+K45-J45</f>
        <v>11.610250000000008</v>
      </c>
    </row>
    <row r="46" spans="1:14">
      <c r="A46" s="60" t="s">
        <v>784</v>
      </c>
      <c r="B46" s="61">
        <f>B44-B45</f>
        <v>197.5</v>
      </c>
      <c r="C46" s="61">
        <f>C44-C45</f>
        <v>0</v>
      </c>
      <c r="D46" s="31"/>
      <c r="E46" s="31"/>
      <c r="F46" s="31"/>
      <c r="H46" s="381" t="s">
        <v>33</v>
      </c>
      <c r="J46" s="394">
        <f>'Prep%Fuelspercentage.direct'!B39*(+F40+F38)</f>
        <v>76.610250000000008</v>
      </c>
      <c r="K46" s="381">
        <v>65</v>
      </c>
      <c r="L46" s="394">
        <f>+K46-J46</f>
        <v>-11.610250000000008</v>
      </c>
    </row>
    <row r="47" spans="1:14">
      <c r="A47" s="688" t="s">
        <v>1236</v>
      </c>
      <c r="C47" s="381"/>
      <c r="J47" s="394">
        <f>SUM(J45:J46)</f>
        <v>197.5</v>
      </c>
      <c r="K47" s="394">
        <f>SUM(K45:K46)</f>
        <v>197.5</v>
      </c>
    </row>
    <row r="48" spans="1:14">
      <c r="A48" s="289" t="s">
        <v>32</v>
      </c>
      <c r="B48" s="381">
        <f>ROUND(+B46*0.65,0)</f>
        <v>128</v>
      </c>
      <c r="C48" s="687"/>
      <c r="H48" s="381" t="s">
        <v>1237</v>
      </c>
      <c r="J48" s="262">
        <v>0</v>
      </c>
      <c r="K48" s="262">
        <v>0</v>
      </c>
      <c r="L48" s="381" t="s">
        <v>33</v>
      </c>
    </row>
    <row r="49" spans="1:14">
      <c r="A49" s="289" t="s">
        <v>33</v>
      </c>
      <c r="B49" s="381">
        <f>+B46-B48</f>
        <v>69.5</v>
      </c>
      <c r="C49" s="687"/>
      <c r="J49" s="394">
        <f>+J47-J48</f>
        <v>197.5</v>
      </c>
      <c r="K49" s="394">
        <f>+K47-K48</f>
        <v>197.5</v>
      </c>
    </row>
    <row r="50" spans="1:14" ht="15.6" thickBot="1">
      <c r="A50" s="31"/>
      <c r="B50" s="31"/>
      <c r="C50" s="32"/>
      <c r="D50" s="31"/>
      <c r="E50" s="31"/>
      <c r="F50" s="31"/>
      <c r="G50" s="31"/>
      <c r="H50" s="31"/>
      <c r="I50" s="31"/>
      <c r="J50" s="31"/>
      <c r="K50" s="31"/>
      <c r="L50" s="31"/>
      <c r="M50" s="31"/>
      <c r="N50" s="562"/>
    </row>
    <row r="51" spans="1:14" ht="15.6">
      <c r="A51" s="764" t="s">
        <v>330</v>
      </c>
      <c r="B51" s="765"/>
      <c r="C51" s="765"/>
      <c r="D51" s="765"/>
      <c r="E51" s="765"/>
      <c r="F51" s="765"/>
      <c r="G51" s="581"/>
      <c r="H51" s="31" t="s">
        <v>1238</v>
      </c>
      <c r="I51" s="31"/>
      <c r="J51" s="31"/>
      <c r="K51" s="31"/>
      <c r="L51" s="31"/>
      <c r="M51" s="31"/>
      <c r="N51" s="562"/>
    </row>
    <row r="52" spans="1:14" ht="15.6">
      <c r="A52" s="738"/>
      <c r="B52" s="739"/>
      <c r="C52" s="739"/>
      <c r="D52" s="739"/>
      <c r="E52" s="739"/>
      <c r="F52" s="739"/>
      <c r="G52" s="582"/>
      <c r="H52" s="31" t="s">
        <v>1073</v>
      </c>
      <c r="I52" s="31"/>
      <c r="J52" s="31" t="s">
        <v>1074</v>
      </c>
      <c r="K52" s="31" t="s">
        <v>1079</v>
      </c>
      <c r="L52" s="31"/>
      <c r="M52" s="31"/>
      <c r="N52" s="562"/>
    </row>
    <row r="53" spans="1:14">
      <c r="A53" s="740" t="s">
        <v>331</v>
      </c>
      <c r="B53" s="741"/>
      <c r="C53" s="583"/>
      <c r="D53" s="583"/>
      <c r="E53" s="583"/>
      <c r="F53" s="583"/>
      <c r="G53" s="582"/>
      <c r="H53" s="31" t="s">
        <v>32</v>
      </c>
      <c r="I53" s="31"/>
      <c r="J53" s="630">
        <v>61</v>
      </c>
      <c r="K53" s="630">
        <v>100</v>
      </c>
      <c r="L53" s="630">
        <f>+J53-K53</f>
        <v>-39</v>
      </c>
      <c r="M53" s="31"/>
      <c r="N53" s="562"/>
    </row>
    <row r="54" spans="1:14">
      <c r="A54" s="584" t="s">
        <v>480</v>
      </c>
      <c r="B54" s="585">
        <f>E39</f>
        <v>682</v>
      </c>
      <c r="C54" s="586"/>
      <c r="D54" s="587"/>
      <c r="E54" s="587"/>
      <c r="F54" s="587"/>
      <c r="G54" s="582"/>
      <c r="H54" s="31" t="s">
        <v>33</v>
      </c>
      <c r="I54" s="31"/>
      <c r="J54" s="630">
        <v>39</v>
      </c>
      <c r="K54" s="630">
        <v>0</v>
      </c>
      <c r="L54" s="630">
        <f>+J54-K54</f>
        <v>39</v>
      </c>
      <c r="M54" s="31"/>
      <c r="N54" s="562"/>
    </row>
    <row r="55" spans="1:14">
      <c r="A55" s="588" t="s">
        <v>481</v>
      </c>
      <c r="B55" s="589">
        <f>F39</f>
        <v>707</v>
      </c>
      <c r="C55" s="586"/>
      <c r="D55" s="587"/>
      <c r="E55" s="587"/>
      <c r="F55" s="587"/>
      <c r="G55" s="582"/>
      <c r="H55" s="31"/>
      <c r="I55" s="31"/>
      <c r="J55" s="630">
        <f>SUM(J53:J54)</f>
        <v>100</v>
      </c>
      <c r="K55" s="630">
        <f>SUM(K53:K54)</f>
        <v>100</v>
      </c>
      <c r="L55" s="630"/>
      <c r="M55" s="31"/>
      <c r="N55" s="562"/>
    </row>
    <row r="56" spans="1:14">
      <c r="A56" s="590" t="s">
        <v>334</v>
      </c>
      <c r="B56" s="591">
        <f>B55-B54</f>
        <v>25</v>
      </c>
      <c r="C56" s="586"/>
      <c r="D56" s="587"/>
      <c r="E56" s="587"/>
      <c r="F56" s="587"/>
      <c r="G56" s="582"/>
      <c r="H56" s="31" t="s">
        <v>1237</v>
      </c>
      <c r="I56" s="31"/>
      <c r="J56" s="630">
        <v>0</v>
      </c>
      <c r="K56" s="630">
        <v>0</v>
      </c>
      <c r="L56" s="630"/>
      <c r="M56" s="31"/>
      <c r="N56" s="562"/>
    </row>
    <row r="57" spans="1:14">
      <c r="A57" s="590" t="s">
        <v>335</v>
      </c>
      <c r="B57" s="592">
        <f>B56/B54</f>
        <v>3.6656891495601175E-2</v>
      </c>
      <c r="C57" s="586"/>
      <c r="D57" s="587"/>
      <c r="E57" s="587"/>
      <c r="F57" s="587"/>
      <c r="G57" s="582"/>
      <c r="H57" s="31"/>
      <c r="I57" s="31"/>
      <c r="J57" s="394">
        <f>+J55-J56</f>
        <v>100</v>
      </c>
      <c r="K57" s="394">
        <f>+K55-K56</f>
        <v>100</v>
      </c>
      <c r="L57" s="630"/>
      <c r="M57" s="31"/>
      <c r="N57" s="562"/>
    </row>
    <row r="58" spans="1:14">
      <c r="A58" s="593"/>
      <c r="B58" s="587"/>
      <c r="C58" s="686"/>
      <c r="D58" s="587"/>
      <c r="E58" s="587"/>
      <c r="F58" s="587"/>
      <c r="G58" s="582"/>
      <c r="H58" s="31"/>
      <c r="I58" s="31"/>
      <c r="J58" s="31"/>
      <c r="K58" s="31"/>
      <c r="L58" s="31"/>
      <c r="M58" s="31"/>
      <c r="N58" s="562"/>
    </row>
    <row r="59" spans="1:14">
      <c r="A59" s="731" t="s">
        <v>336</v>
      </c>
      <c r="B59" s="732"/>
      <c r="C59" s="732"/>
      <c r="D59" s="732"/>
      <c r="E59" s="732"/>
      <c r="F59" s="732"/>
      <c r="G59" s="582"/>
      <c r="H59" s="31"/>
      <c r="I59" s="31"/>
      <c r="J59" s="31"/>
      <c r="K59" s="31"/>
      <c r="L59" s="31"/>
      <c r="M59" s="31"/>
      <c r="N59" s="562"/>
    </row>
    <row r="60" spans="1:14" ht="152.19999999999999" customHeight="1">
      <c r="A60" s="742" t="s">
        <v>1239</v>
      </c>
      <c r="B60" s="743"/>
      <c r="C60" s="743"/>
      <c r="D60" s="743"/>
      <c r="E60" s="743"/>
      <c r="F60" s="744"/>
      <c r="G60" s="582"/>
      <c r="H60" s="31"/>
      <c r="I60" s="31"/>
      <c r="J60" s="31"/>
      <c r="K60" s="31"/>
      <c r="L60" s="31"/>
      <c r="M60" s="31"/>
      <c r="N60" s="562"/>
    </row>
    <row r="61" spans="1:14">
      <c r="A61" s="594"/>
      <c r="B61" s="595"/>
      <c r="C61" s="595"/>
      <c r="D61" s="595"/>
      <c r="E61" s="595"/>
      <c r="F61" s="595"/>
      <c r="G61" s="582"/>
      <c r="H61" s="31"/>
      <c r="I61" s="31"/>
      <c r="J61" s="31"/>
      <c r="K61" s="31"/>
      <c r="L61" s="31"/>
      <c r="M61" s="31"/>
      <c r="N61" s="562"/>
    </row>
    <row r="62" spans="1:14">
      <c r="A62" s="596" t="s">
        <v>337</v>
      </c>
      <c r="B62" s="587"/>
      <c r="C62" s="686"/>
      <c r="D62" s="587"/>
      <c r="E62" s="587"/>
      <c r="F62" s="587"/>
      <c r="G62" s="582"/>
      <c r="H62" s="31"/>
      <c r="I62" s="31"/>
      <c r="J62" s="31"/>
      <c r="K62" s="31"/>
      <c r="L62" s="31"/>
      <c r="M62" s="31"/>
      <c r="N62" s="562"/>
    </row>
    <row r="63" spans="1:14" ht="236.05" customHeight="1">
      <c r="A63" s="742" t="s">
        <v>1240</v>
      </c>
      <c r="B63" s="736"/>
      <c r="C63" s="736"/>
      <c r="D63" s="736"/>
      <c r="E63" s="736"/>
      <c r="F63" s="737"/>
      <c r="G63" s="582"/>
      <c r="H63" s="31"/>
      <c r="I63" s="31"/>
      <c r="J63" s="31"/>
      <c r="K63" s="31"/>
      <c r="L63" s="31"/>
      <c r="M63" s="31"/>
      <c r="N63" s="562"/>
    </row>
    <row r="64" spans="1:14">
      <c r="A64" s="593"/>
      <c r="B64" s="587"/>
      <c r="C64" s="686"/>
      <c r="D64" s="587"/>
      <c r="E64" s="587"/>
      <c r="F64" s="587"/>
      <c r="G64" s="582"/>
      <c r="H64" s="31"/>
      <c r="I64" s="31"/>
      <c r="J64" s="31"/>
      <c r="K64" s="31"/>
      <c r="L64" s="31"/>
      <c r="M64" s="31"/>
      <c r="N64" s="562"/>
    </row>
    <row r="65" spans="1:14">
      <c r="A65" s="731" t="s">
        <v>365</v>
      </c>
      <c r="B65" s="732"/>
      <c r="C65" s="732"/>
      <c r="D65" s="732"/>
      <c r="E65" s="732"/>
      <c r="F65" s="732"/>
      <c r="G65" s="582"/>
      <c r="H65" s="31"/>
      <c r="I65" s="31"/>
      <c r="J65" s="31"/>
      <c r="K65" s="31"/>
      <c r="L65" s="31"/>
      <c r="M65" s="31"/>
      <c r="N65" s="562"/>
    </row>
    <row r="66" spans="1:14">
      <c r="A66" s="733" t="s">
        <v>849</v>
      </c>
      <c r="B66" s="734"/>
      <c r="C66" s="734"/>
      <c r="D66" s="734"/>
      <c r="E66" s="734"/>
      <c r="F66" s="734"/>
      <c r="G66" s="582"/>
      <c r="H66" s="31"/>
      <c r="I66" s="31"/>
      <c r="J66" s="31"/>
      <c r="K66" s="31"/>
      <c r="L66" s="31"/>
      <c r="M66" s="31"/>
      <c r="N66" s="562"/>
    </row>
    <row r="67" spans="1:14" ht="44" customHeight="1">
      <c r="A67" s="742" t="s">
        <v>1241</v>
      </c>
      <c r="B67" s="743"/>
      <c r="C67" s="743"/>
      <c r="D67" s="743"/>
      <c r="E67" s="743"/>
      <c r="F67" s="744"/>
      <c r="G67" s="582"/>
      <c r="H67" s="31"/>
      <c r="I67" s="31"/>
      <c r="J67" s="31"/>
      <c r="K67" s="31"/>
      <c r="L67" s="31"/>
      <c r="M67" s="31"/>
      <c r="N67" s="562"/>
    </row>
    <row r="68" spans="1:14">
      <c r="A68" s="596"/>
      <c r="B68" s="587"/>
      <c r="C68" s="686"/>
      <c r="D68" s="587"/>
      <c r="E68" s="587"/>
      <c r="F68" s="587"/>
      <c r="G68" s="582"/>
      <c r="H68" s="31"/>
      <c r="I68" s="31"/>
      <c r="J68" s="31"/>
      <c r="K68" s="31"/>
      <c r="L68" s="31"/>
      <c r="M68" s="31"/>
      <c r="N68" s="562"/>
    </row>
    <row r="69" spans="1:14">
      <c r="A69" s="731" t="s">
        <v>340</v>
      </c>
      <c r="B69" s="732"/>
      <c r="C69" s="732"/>
      <c r="D69" s="732"/>
      <c r="E69" s="732"/>
      <c r="F69" s="587"/>
      <c r="G69" s="582"/>
      <c r="H69" s="31"/>
      <c r="I69" s="31"/>
      <c r="J69" s="31"/>
      <c r="K69" s="31"/>
      <c r="L69" s="31"/>
      <c r="M69" s="31"/>
      <c r="N69" s="562"/>
    </row>
    <row r="70" spans="1:14" ht="82.2" customHeight="1">
      <c r="A70" s="766" t="s">
        <v>1242</v>
      </c>
      <c r="B70" s="729"/>
      <c r="C70" s="729"/>
      <c r="D70" s="729"/>
      <c r="E70" s="729"/>
      <c r="F70" s="730"/>
      <c r="G70" s="582"/>
      <c r="H70" s="31"/>
      <c r="I70" s="31"/>
      <c r="J70" s="31"/>
      <c r="K70" s="31"/>
      <c r="L70" s="31"/>
      <c r="M70" s="31"/>
      <c r="N70" s="562"/>
    </row>
    <row r="71" spans="1:14">
      <c r="A71" s="593"/>
      <c r="B71" s="587"/>
      <c r="C71" s="686"/>
      <c r="D71" s="587"/>
      <c r="E71" s="587"/>
      <c r="F71" s="587"/>
      <c r="G71" s="582"/>
      <c r="H71" s="31"/>
      <c r="I71" s="31"/>
      <c r="J71" s="31"/>
      <c r="K71" s="31"/>
      <c r="L71" s="31"/>
      <c r="M71" s="31"/>
      <c r="N71" s="562"/>
    </row>
    <row r="72" spans="1:14">
      <c r="A72" s="596" t="s">
        <v>341</v>
      </c>
      <c r="B72" s="587"/>
      <c r="C72" s="686"/>
      <c r="D72" s="587"/>
      <c r="E72" s="587"/>
      <c r="F72" s="587"/>
      <c r="G72" s="582"/>
      <c r="H72" s="31"/>
      <c r="I72" s="31"/>
      <c r="J72" s="31"/>
      <c r="K72" s="31"/>
      <c r="L72" s="31"/>
      <c r="M72" s="31"/>
      <c r="N72" s="562"/>
    </row>
    <row r="73" spans="1:14">
      <c r="A73" s="597" t="s">
        <v>342</v>
      </c>
      <c r="B73" s="587"/>
      <c r="C73" s="686"/>
      <c r="D73" s="587"/>
      <c r="E73" s="587"/>
      <c r="F73" s="587"/>
      <c r="G73" s="582"/>
      <c r="H73" s="31"/>
      <c r="I73" s="31"/>
      <c r="J73" s="31"/>
      <c r="K73" s="31"/>
      <c r="L73" s="31"/>
      <c r="M73" s="31"/>
      <c r="N73" s="562"/>
    </row>
    <row r="74" spans="1:14" ht="26.2" customHeight="1">
      <c r="A74" s="719" t="s">
        <v>343</v>
      </c>
      <c r="B74" s="720"/>
      <c r="C74" s="720"/>
      <c r="D74" s="720"/>
      <c r="E74" s="720"/>
      <c r="F74" s="720"/>
      <c r="G74" s="582"/>
      <c r="H74" s="31"/>
      <c r="I74" s="31"/>
      <c r="J74" s="31"/>
      <c r="K74" s="31"/>
      <c r="L74" s="31"/>
      <c r="M74" s="31"/>
      <c r="N74" s="562"/>
    </row>
    <row r="75" spans="1:14" ht="84.25" customHeight="1">
      <c r="A75" s="742" t="s">
        <v>1243</v>
      </c>
      <c r="B75" s="722"/>
      <c r="C75" s="722"/>
      <c r="D75" s="722"/>
      <c r="E75" s="722"/>
      <c r="F75" s="723"/>
      <c r="G75" s="582"/>
      <c r="H75" s="31"/>
      <c r="I75" s="31"/>
      <c r="J75" s="31"/>
      <c r="K75" s="31"/>
      <c r="L75" s="31"/>
      <c r="M75" s="31"/>
      <c r="N75" s="562"/>
    </row>
    <row r="76" spans="1:14">
      <c r="A76" s="724"/>
      <c r="B76" s="725"/>
      <c r="C76" s="725"/>
      <c r="D76" s="725"/>
      <c r="E76" s="725"/>
      <c r="F76" s="725"/>
      <c r="G76" s="582"/>
      <c r="H76" s="31"/>
      <c r="I76" s="31"/>
      <c r="J76" s="31"/>
      <c r="K76" s="31"/>
      <c r="L76" s="31"/>
      <c r="M76" s="31"/>
      <c r="N76" s="562"/>
    </row>
    <row r="77" spans="1:14">
      <c r="A77" s="597" t="s">
        <v>344</v>
      </c>
      <c r="B77" s="587"/>
      <c r="C77" s="686"/>
      <c r="D77" s="587"/>
      <c r="E77" s="587"/>
      <c r="F77" s="587"/>
      <c r="G77" s="582"/>
      <c r="H77" s="31"/>
      <c r="I77" s="31"/>
      <c r="J77" s="31"/>
      <c r="K77" s="31"/>
      <c r="L77" s="31"/>
      <c r="M77" s="31"/>
      <c r="N77" s="562"/>
    </row>
    <row r="78" spans="1:14" ht="28.8" customHeight="1">
      <c r="A78" s="726" t="s">
        <v>345</v>
      </c>
      <c r="B78" s="727"/>
      <c r="C78" s="727"/>
      <c r="D78" s="727"/>
      <c r="E78" s="727"/>
      <c r="F78" s="727"/>
      <c r="G78" s="582"/>
      <c r="H78" s="31"/>
      <c r="I78" s="31"/>
      <c r="J78" s="31"/>
      <c r="K78" s="31"/>
      <c r="L78" s="31"/>
      <c r="M78" s="31"/>
      <c r="N78" s="562"/>
    </row>
    <row r="79" spans="1:14" ht="30.8" customHeight="1">
      <c r="A79" s="766" t="s">
        <v>1244</v>
      </c>
      <c r="B79" s="767"/>
      <c r="C79" s="767"/>
      <c r="D79" s="767"/>
      <c r="E79" s="767"/>
      <c r="F79" s="768"/>
      <c r="G79" s="582"/>
      <c r="H79" s="31"/>
      <c r="I79" s="31"/>
      <c r="J79" s="31"/>
      <c r="K79" s="31"/>
      <c r="L79" s="31"/>
      <c r="M79" s="31"/>
      <c r="N79" s="562"/>
    </row>
    <row r="80" spans="1:14" ht="15.6" thickBot="1">
      <c r="A80" s="598"/>
      <c r="B80" s="599"/>
      <c r="C80" s="600"/>
      <c r="D80" s="599"/>
      <c r="E80" s="599"/>
      <c r="F80" s="599"/>
      <c r="G80" s="601"/>
      <c r="H80" s="31"/>
      <c r="I80" s="31"/>
      <c r="J80" s="31"/>
      <c r="K80" s="31"/>
      <c r="L80" s="31"/>
      <c r="M80" s="31"/>
      <c r="N80" s="562"/>
    </row>
    <row r="81" spans="1:14">
      <c r="A81" s="31"/>
      <c r="B81" s="31"/>
      <c r="C81" s="32"/>
      <c r="D81" s="31"/>
      <c r="E81" s="31"/>
      <c r="F81" s="31"/>
      <c r="G81" s="31"/>
      <c r="H81" s="31"/>
      <c r="I81" s="31"/>
      <c r="J81" s="31"/>
      <c r="K81" s="31"/>
      <c r="L81" s="31"/>
      <c r="M81" s="31"/>
      <c r="N81" s="562"/>
    </row>
  </sheetData>
  <mergeCells count="17">
    <mergeCell ref="A1:N1"/>
    <mergeCell ref="A51:F51"/>
    <mergeCell ref="A52:F52"/>
    <mergeCell ref="A53:B53"/>
    <mergeCell ref="A59:F59"/>
    <mergeCell ref="A60:F60"/>
    <mergeCell ref="A63:F63"/>
    <mergeCell ref="A65:F65"/>
    <mergeCell ref="A66:F66"/>
    <mergeCell ref="A67:F67"/>
    <mergeCell ref="A78:F78"/>
    <mergeCell ref="A79:F79"/>
    <mergeCell ref="A69:E69"/>
    <mergeCell ref="A70:F70"/>
    <mergeCell ref="A74:F74"/>
    <mergeCell ref="A75:F75"/>
    <mergeCell ref="A76:F76"/>
  </mergeCells>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2" tint="-0.249977111117893"/>
    <pageSetUpPr fitToPage="1"/>
  </sheetPr>
  <dimension ref="A1:N87"/>
  <sheetViews>
    <sheetView zoomScaleNormal="100" workbookViewId="0">
      <selection sqref="A1:N1"/>
    </sheetView>
  </sheetViews>
  <sheetFormatPr defaultColWidth="9.140625" defaultRowHeight="14.85"/>
  <cols>
    <col min="1" max="1" width="45.85546875" style="151" customWidth="1"/>
    <col min="2" max="2" width="20.28515625" style="151" customWidth="1"/>
    <col min="3" max="3" width="7.7109375" style="152" customWidth="1"/>
    <col min="4" max="4" width="8.7109375" style="151" customWidth="1"/>
    <col min="5" max="5" width="10.7109375" style="151" customWidth="1"/>
    <col min="6" max="6" width="11" style="151" customWidth="1"/>
    <col min="7" max="7" width="9.5703125" style="151" customWidth="1"/>
    <col min="8" max="8" width="8.42578125" style="151" customWidth="1"/>
    <col min="9" max="10" width="7.140625" style="151" customWidth="1"/>
    <col min="11" max="11" width="7.7109375" style="151" customWidth="1"/>
    <col min="12" max="12" width="9.7109375" style="151" customWidth="1"/>
    <col min="13" max="13" width="9.140625" style="151" customWidth="1"/>
    <col min="14" max="14" width="33.85546875" style="151" customWidth="1"/>
    <col min="15" max="16384" width="9.140625" style="151"/>
  </cols>
  <sheetData>
    <row r="1" spans="1:14" ht="15.6">
      <c r="A1" s="745" t="s">
        <v>346</v>
      </c>
      <c r="B1" s="745"/>
      <c r="C1" s="745"/>
      <c r="D1" s="745"/>
      <c r="E1" s="745"/>
      <c r="F1" s="745"/>
      <c r="G1" s="745"/>
      <c r="H1" s="745"/>
      <c r="I1" s="745"/>
      <c r="J1" s="745"/>
      <c r="K1" s="745"/>
      <c r="L1" s="745"/>
      <c r="M1" s="745"/>
      <c r="N1" s="745"/>
    </row>
    <row r="2" spans="1:14">
      <c r="A2" s="377" t="s">
        <v>1245</v>
      </c>
      <c r="B2" s="381"/>
      <c r="C2" s="381"/>
      <c r="D2" s="381"/>
      <c r="E2" s="381"/>
      <c r="F2" s="381"/>
      <c r="G2" s="381"/>
      <c r="H2" s="381"/>
      <c r="I2" s="381"/>
      <c r="J2" s="381"/>
      <c r="K2" s="381"/>
      <c r="L2" s="381"/>
      <c r="M2" s="381"/>
      <c r="N2" s="565"/>
    </row>
    <row r="3" spans="1:14">
      <c r="A3" s="377" t="s">
        <v>1246</v>
      </c>
      <c r="B3" s="381"/>
      <c r="C3" s="381"/>
      <c r="D3" s="381"/>
      <c r="E3" s="381"/>
      <c r="F3" s="554" t="s">
        <v>275</v>
      </c>
      <c r="G3" s="381"/>
      <c r="H3" s="381"/>
      <c r="I3" s="381"/>
      <c r="J3" s="381"/>
      <c r="K3" s="381"/>
      <c r="L3" s="381"/>
      <c r="M3" s="381"/>
      <c r="N3" s="565"/>
    </row>
    <row r="4" spans="1:14">
      <c r="A4" s="68" t="s">
        <v>1247</v>
      </c>
      <c r="B4" s="31"/>
      <c r="C4" s="31"/>
      <c r="D4" s="31"/>
      <c r="E4" s="381"/>
      <c r="F4" s="381"/>
      <c r="G4" s="381"/>
      <c r="H4" s="381"/>
      <c r="I4" s="381"/>
      <c r="J4" s="381"/>
      <c r="K4" s="381"/>
      <c r="L4" s="381"/>
      <c r="M4" s="381"/>
      <c r="N4" s="565"/>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70" t="s">
        <v>1248</v>
      </c>
      <c r="B6" s="70"/>
      <c r="C6" s="70"/>
      <c r="D6" s="70"/>
      <c r="E6" s="70"/>
      <c r="F6" s="70"/>
      <c r="G6" s="70"/>
      <c r="H6" s="70"/>
      <c r="I6" s="70"/>
      <c r="J6" s="70"/>
      <c r="K6" s="70"/>
      <c r="L6" s="70"/>
      <c r="M6" s="70"/>
      <c r="N6" s="70"/>
    </row>
    <row r="7" spans="1:14" s="285" customFormat="1">
      <c r="A7" s="36" t="s">
        <v>1249</v>
      </c>
      <c r="B7" s="36" t="s">
        <v>1250</v>
      </c>
      <c r="C7" s="37" t="s">
        <v>287</v>
      </c>
      <c r="D7" s="38">
        <v>1</v>
      </c>
      <c r="E7" s="263">
        <v>217</v>
      </c>
      <c r="F7" s="309">
        <f t="shared" ref="F7:F12" si="0">SUM(G7:M7)</f>
        <v>224</v>
      </c>
      <c r="G7" s="310">
        <v>0</v>
      </c>
      <c r="H7" s="310">
        <v>0</v>
      </c>
      <c r="I7" s="310">
        <v>0</v>
      </c>
      <c r="J7" s="310">
        <v>0</v>
      </c>
      <c r="K7" s="310">
        <v>224</v>
      </c>
      <c r="L7" s="310">
        <v>0</v>
      </c>
      <c r="M7" s="311">
        <v>0</v>
      </c>
      <c r="N7" s="355" t="s">
        <v>1251</v>
      </c>
    </row>
    <row r="8" spans="1:14" s="285" customFormat="1" ht="15.05" customHeight="1">
      <c r="A8" s="36" t="s">
        <v>1252</v>
      </c>
      <c r="B8" s="36" t="s">
        <v>1253</v>
      </c>
      <c r="C8" s="37" t="s">
        <v>287</v>
      </c>
      <c r="D8" s="39">
        <v>1</v>
      </c>
      <c r="E8" s="263">
        <v>165</v>
      </c>
      <c r="F8" s="309">
        <f t="shared" si="0"/>
        <v>170</v>
      </c>
      <c r="G8" s="310">
        <v>0</v>
      </c>
      <c r="H8" s="310">
        <v>0</v>
      </c>
      <c r="I8" s="310">
        <v>0</v>
      </c>
      <c r="J8" s="310">
        <v>0</v>
      </c>
      <c r="K8" s="310">
        <v>170</v>
      </c>
      <c r="L8" s="310">
        <v>0</v>
      </c>
      <c r="M8" s="311">
        <v>0</v>
      </c>
      <c r="N8" s="355"/>
    </row>
    <row r="9" spans="1:14" s="285" customFormat="1">
      <c r="A9" s="36" t="s">
        <v>1254</v>
      </c>
      <c r="B9" s="264" t="s">
        <v>1255</v>
      </c>
      <c r="C9" s="37" t="s">
        <v>287</v>
      </c>
      <c r="D9" s="39">
        <v>1</v>
      </c>
      <c r="E9" s="263">
        <v>171</v>
      </c>
      <c r="F9" s="309">
        <f t="shared" si="0"/>
        <v>176</v>
      </c>
      <c r="G9" s="310">
        <v>0</v>
      </c>
      <c r="H9" s="310">
        <v>0</v>
      </c>
      <c r="I9" s="310">
        <v>0</v>
      </c>
      <c r="J9" s="310">
        <v>0</v>
      </c>
      <c r="K9" s="310">
        <v>176</v>
      </c>
      <c r="L9" s="310">
        <v>0</v>
      </c>
      <c r="M9" s="311">
        <v>0</v>
      </c>
      <c r="N9" s="355" t="s">
        <v>1251</v>
      </c>
    </row>
    <row r="10" spans="1:14" s="285" customFormat="1" ht="15.05" customHeight="1">
      <c r="A10" s="36" t="s">
        <v>1256</v>
      </c>
      <c r="B10" s="264" t="s">
        <v>1257</v>
      </c>
      <c r="C10" s="37" t="s">
        <v>287</v>
      </c>
      <c r="D10" s="39">
        <v>1</v>
      </c>
      <c r="E10" s="263">
        <v>175</v>
      </c>
      <c r="F10" s="309">
        <f t="shared" si="0"/>
        <v>180</v>
      </c>
      <c r="G10" s="310">
        <v>0</v>
      </c>
      <c r="H10" s="310">
        <v>0</v>
      </c>
      <c r="I10" s="310">
        <v>0</v>
      </c>
      <c r="J10" s="310">
        <v>0</v>
      </c>
      <c r="K10" s="310">
        <v>180</v>
      </c>
      <c r="L10" s="310">
        <v>0</v>
      </c>
      <c r="M10" s="311">
        <v>0</v>
      </c>
      <c r="N10" s="326"/>
    </row>
    <row r="11" spans="1:14" s="285" customFormat="1" ht="15.05" customHeight="1">
      <c r="A11" s="36" t="s">
        <v>551</v>
      </c>
      <c r="B11" s="36"/>
      <c r="C11" s="37" t="s">
        <v>287</v>
      </c>
      <c r="D11" s="39">
        <v>0</v>
      </c>
      <c r="E11" s="263">
        <v>0</v>
      </c>
      <c r="F11" s="309">
        <f t="shared" si="0"/>
        <v>0</v>
      </c>
      <c r="G11" s="310">
        <v>0</v>
      </c>
      <c r="H11" s="310">
        <v>0</v>
      </c>
      <c r="I11" s="310">
        <v>0</v>
      </c>
      <c r="J11" s="310">
        <v>0</v>
      </c>
      <c r="K11" s="310">
        <v>0</v>
      </c>
      <c r="L11" s="310">
        <v>0</v>
      </c>
      <c r="M11" s="311">
        <v>0</v>
      </c>
      <c r="N11" s="355"/>
    </row>
    <row r="12" spans="1:14" ht="15.05" customHeight="1">
      <c r="A12" s="264" t="s">
        <v>551</v>
      </c>
      <c r="B12" s="265"/>
      <c r="C12" s="37" t="s">
        <v>1258</v>
      </c>
      <c r="D12" s="267">
        <v>0</v>
      </c>
      <c r="E12" s="263">
        <v>0</v>
      </c>
      <c r="F12" s="309">
        <f t="shared" si="0"/>
        <v>0</v>
      </c>
      <c r="G12" s="310">
        <v>0</v>
      </c>
      <c r="H12" s="310">
        <v>0</v>
      </c>
      <c r="I12" s="310">
        <v>0</v>
      </c>
      <c r="J12" s="310">
        <v>0</v>
      </c>
      <c r="K12" s="310">
        <v>0</v>
      </c>
      <c r="L12" s="310">
        <v>0</v>
      </c>
      <c r="M12" s="311">
        <v>0</v>
      </c>
      <c r="N12" s="325"/>
    </row>
    <row r="13" spans="1:14">
      <c r="A13" s="40" t="s">
        <v>288</v>
      </c>
      <c r="B13" s="265"/>
      <c r="C13" s="265"/>
      <c r="D13" s="41">
        <f>SUM(D7:D12)</f>
        <v>4</v>
      </c>
      <c r="E13" s="43">
        <f t="shared" ref="E13:M13" si="1">SUM(E7:E12)</f>
        <v>728</v>
      </c>
      <c r="F13" s="43">
        <f t="shared" si="1"/>
        <v>750</v>
      </c>
      <c r="G13" s="43">
        <f t="shared" si="1"/>
        <v>0</v>
      </c>
      <c r="H13" s="43">
        <f t="shared" si="1"/>
        <v>0</v>
      </c>
      <c r="I13" s="43">
        <f t="shared" si="1"/>
        <v>0</v>
      </c>
      <c r="J13" s="43">
        <f t="shared" si="1"/>
        <v>0</v>
      </c>
      <c r="K13" s="43">
        <f t="shared" si="1"/>
        <v>750</v>
      </c>
      <c r="L13" s="43">
        <f t="shared" si="1"/>
        <v>0</v>
      </c>
      <c r="M13" s="43">
        <f t="shared" si="1"/>
        <v>0</v>
      </c>
      <c r="N13" s="325"/>
    </row>
    <row r="14" spans="1:14">
      <c r="A14" s="70" t="s">
        <v>1259</v>
      </c>
      <c r="B14" s="70"/>
      <c r="C14" s="70"/>
      <c r="D14" s="70"/>
      <c r="E14" s="70"/>
      <c r="F14" s="70"/>
      <c r="G14" s="70"/>
      <c r="H14" s="70"/>
      <c r="I14" s="70"/>
      <c r="J14" s="70"/>
      <c r="K14" s="70"/>
      <c r="L14" s="70"/>
      <c r="M14" s="70"/>
      <c r="N14" s="70"/>
    </row>
    <row r="15" spans="1:14">
      <c r="A15" s="264" t="s">
        <v>379</v>
      </c>
      <c r="B15" s="264" t="s">
        <v>1260</v>
      </c>
      <c r="C15" s="264">
        <v>251</v>
      </c>
      <c r="D15" s="45"/>
      <c r="E15" s="263">
        <v>0</v>
      </c>
      <c r="F15" s="357">
        <f>SUM(G15:M15)</f>
        <v>0</v>
      </c>
      <c r="G15" s="310">
        <v>0</v>
      </c>
      <c r="H15" s="310">
        <v>0</v>
      </c>
      <c r="I15" s="310">
        <v>0</v>
      </c>
      <c r="J15" s="310">
        <v>0</v>
      </c>
      <c r="K15" s="310">
        <v>0</v>
      </c>
      <c r="L15" s="310">
        <v>0</v>
      </c>
      <c r="M15" s="311">
        <v>0</v>
      </c>
      <c r="N15" s="327"/>
    </row>
    <row r="16" spans="1:14">
      <c r="A16" s="264" t="s">
        <v>379</v>
      </c>
      <c r="B16" s="264" t="s">
        <v>1260</v>
      </c>
      <c r="C16" s="264">
        <v>251</v>
      </c>
      <c r="D16" s="45"/>
      <c r="E16" s="263">
        <v>0</v>
      </c>
      <c r="F16" s="357">
        <f>SUM(G16:M16)</f>
        <v>0</v>
      </c>
      <c r="G16" s="310">
        <v>0</v>
      </c>
      <c r="H16" s="310">
        <v>0</v>
      </c>
      <c r="I16" s="310">
        <v>0</v>
      </c>
      <c r="J16" s="310">
        <v>0</v>
      </c>
      <c r="K16" s="310">
        <v>0</v>
      </c>
      <c r="L16" s="310">
        <v>0</v>
      </c>
      <c r="M16" s="311">
        <v>0</v>
      </c>
      <c r="N16" s="327"/>
    </row>
    <row r="17" spans="1:14">
      <c r="A17" s="264" t="s">
        <v>379</v>
      </c>
      <c r="B17" s="264" t="s">
        <v>1260</v>
      </c>
      <c r="C17" s="50">
        <v>251</v>
      </c>
      <c r="D17" s="50"/>
      <c r="E17" s="263">
        <v>0</v>
      </c>
      <c r="F17" s="309">
        <f>SUM(G17:M17)</f>
        <v>0</v>
      </c>
      <c r="G17" s="310">
        <v>0</v>
      </c>
      <c r="H17" s="310">
        <v>0</v>
      </c>
      <c r="I17" s="310">
        <v>0</v>
      </c>
      <c r="J17" s="310">
        <v>0</v>
      </c>
      <c r="K17" s="310">
        <v>0</v>
      </c>
      <c r="L17" s="310">
        <v>0</v>
      </c>
      <c r="M17" s="311">
        <v>0</v>
      </c>
      <c r="N17" s="327"/>
    </row>
    <row r="18" spans="1:14">
      <c r="A18" s="40" t="s">
        <v>294</v>
      </c>
      <c r="B18" s="265"/>
      <c r="C18" s="265"/>
      <c r="D18" s="267"/>
      <c r="E18" s="43">
        <f t="shared" ref="E18:M18" si="2">SUM(E15:E17)</f>
        <v>0</v>
      </c>
      <c r="F18" s="43">
        <f t="shared" si="2"/>
        <v>0</v>
      </c>
      <c r="G18" s="43">
        <f t="shared" si="2"/>
        <v>0</v>
      </c>
      <c r="H18" s="43">
        <f t="shared" si="2"/>
        <v>0</v>
      </c>
      <c r="I18" s="43">
        <f t="shared" si="2"/>
        <v>0</v>
      </c>
      <c r="J18" s="43">
        <f t="shared" si="2"/>
        <v>0</v>
      </c>
      <c r="K18" s="43">
        <f t="shared" si="2"/>
        <v>0</v>
      </c>
      <c r="L18" s="43">
        <f t="shared" si="2"/>
        <v>0</v>
      </c>
      <c r="M18" s="43">
        <f t="shared" si="2"/>
        <v>0</v>
      </c>
      <c r="N18" s="325"/>
    </row>
    <row r="19" spans="1:14">
      <c r="A19" s="70" t="s">
        <v>295</v>
      </c>
      <c r="B19" s="70"/>
      <c r="C19" s="70"/>
      <c r="D19" s="70"/>
      <c r="E19" s="70"/>
      <c r="F19" s="70"/>
      <c r="G19" s="70"/>
      <c r="H19" s="70"/>
      <c r="I19" s="70"/>
      <c r="J19" s="70"/>
      <c r="K19" s="70"/>
      <c r="L19" s="70"/>
      <c r="M19" s="70"/>
      <c r="N19" s="70"/>
    </row>
    <row r="20" spans="1:14">
      <c r="A20" s="264" t="s">
        <v>1261</v>
      </c>
      <c r="B20" s="264"/>
      <c r="C20" s="44">
        <v>210</v>
      </c>
      <c r="D20" s="45"/>
      <c r="E20" s="263">
        <v>25</v>
      </c>
      <c r="F20" s="309">
        <f t="shared" ref="F20:F32" si="3">SUM(G20:M20)</f>
        <v>25</v>
      </c>
      <c r="G20" s="310">
        <v>0</v>
      </c>
      <c r="H20" s="310">
        <v>0</v>
      </c>
      <c r="I20" s="310">
        <v>0</v>
      </c>
      <c r="J20" s="310">
        <v>0</v>
      </c>
      <c r="K20" s="310">
        <v>25</v>
      </c>
      <c r="L20" s="310">
        <v>0</v>
      </c>
      <c r="M20" s="311">
        <v>0</v>
      </c>
      <c r="N20" s="327"/>
    </row>
    <row r="21" spans="1:14" s="354" customFormat="1">
      <c r="A21" s="264" t="s">
        <v>1262</v>
      </c>
      <c r="B21" s="264"/>
      <c r="C21" s="44">
        <v>210</v>
      </c>
      <c r="D21" s="45"/>
      <c r="E21" s="263">
        <v>5</v>
      </c>
      <c r="F21" s="309">
        <f t="shared" si="3"/>
        <v>5</v>
      </c>
      <c r="G21" s="310"/>
      <c r="H21" s="310"/>
      <c r="I21" s="310"/>
      <c r="J21" s="310"/>
      <c r="K21" s="310">
        <v>5</v>
      </c>
      <c r="L21" s="310"/>
      <c r="M21" s="311"/>
      <c r="N21" s="327"/>
    </row>
    <row r="22" spans="1:14" s="7" customFormat="1">
      <c r="A22" s="264" t="s">
        <v>1263</v>
      </c>
      <c r="B22" s="264"/>
      <c r="C22" s="44">
        <v>210</v>
      </c>
      <c r="D22" s="45"/>
      <c r="E22" s="263">
        <v>0</v>
      </c>
      <c r="F22" s="309">
        <f t="shared" si="3"/>
        <v>0</v>
      </c>
      <c r="G22" s="310">
        <v>0</v>
      </c>
      <c r="H22" s="310">
        <v>0</v>
      </c>
      <c r="I22" s="310">
        <v>0</v>
      </c>
      <c r="J22" s="310">
        <v>0</v>
      </c>
      <c r="K22" s="310">
        <v>0</v>
      </c>
      <c r="L22" s="310">
        <v>0</v>
      </c>
      <c r="M22" s="311">
        <v>0</v>
      </c>
      <c r="N22" s="327"/>
    </row>
    <row r="23" spans="1:14">
      <c r="A23" s="264" t="s">
        <v>1264</v>
      </c>
      <c r="B23" s="264"/>
      <c r="C23" s="44">
        <v>252</v>
      </c>
      <c r="D23" s="45"/>
      <c r="E23" s="263">
        <v>0</v>
      </c>
      <c r="F23" s="309">
        <f t="shared" si="3"/>
        <v>0</v>
      </c>
      <c r="G23" s="310">
        <v>0</v>
      </c>
      <c r="H23" s="310">
        <v>0</v>
      </c>
      <c r="I23" s="310">
        <v>0</v>
      </c>
      <c r="J23" s="310">
        <v>0</v>
      </c>
      <c r="K23" s="310">
        <v>0</v>
      </c>
      <c r="L23" s="310">
        <v>0</v>
      </c>
      <c r="M23" s="311">
        <v>0</v>
      </c>
      <c r="N23" s="355"/>
    </row>
    <row r="24" spans="1:14" s="7" customFormat="1">
      <c r="A24" s="264" t="s">
        <v>1265</v>
      </c>
      <c r="B24" s="264"/>
      <c r="C24" s="44">
        <v>252</v>
      </c>
      <c r="D24" s="45"/>
      <c r="E24" s="263">
        <v>0</v>
      </c>
      <c r="F24" s="309">
        <f t="shared" si="3"/>
        <v>0</v>
      </c>
      <c r="G24" s="310">
        <v>0</v>
      </c>
      <c r="H24" s="310">
        <v>0</v>
      </c>
      <c r="I24" s="310">
        <v>0</v>
      </c>
      <c r="J24" s="310">
        <v>0</v>
      </c>
      <c r="K24" s="310">
        <v>0</v>
      </c>
      <c r="L24" s="310">
        <v>0</v>
      </c>
      <c r="M24" s="311">
        <v>0</v>
      </c>
      <c r="N24" s="327"/>
    </row>
    <row r="25" spans="1:14" ht="15.05" customHeight="1">
      <c r="A25" s="264" t="s">
        <v>1266</v>
      </c>
      <c r="B25" s="264"/>
      <c r="C25" s="44">
        <v>252</v>
      </c>
      <c r="D25" s="45"/>
      <c r="E25" s="263">
        <v>0</v>
      </c>
      <c r="F25" s="309">
        <f t="shared" si="3"/>
        <v>0</v>
      </c>
      <c r="G25" s="310">
        <v>0</v>
      </c>
      <c r="H25" s="310">
        <v>0</v>
      </c>
      <c r="I25" s="310">
        <v>0</v>
      </c>
      <c r="J25" s="310">
        <v>0</v>
      </c>
      <c r="K25" s="310">
        <v>0</v>
      </c>
      <c r="L25" s="310">
        <v>0</v>
      </c>
      <c r="M25" s="311">
        <v>0</v>
      </c>
      <c r="N25" s="327"/>
    </row>
    <row r="26" spans="1:14">
      <c r="A26" s="264" t="s">
        <v>1267</v>
      </c>
      <c r="B26" s="264"/>
      <c r="C26" s="44">
        <v>252</v>
      </c>
      <c r="D26" s="45"/>
      <c r="E26" s="263">
        <v>0</v>
      </c>
      <c r="F26" s="309">
        <f t="shared" si="3"/>
        <v>0</v>
      </c>
      <c r="G26" s="310">
        <v>0</v>
      </c>
      <c r="H26" s="310">
        <v>0</v>
      </c>
      <c r="I26" s="310">
        <v>0</v>
      </c>
      <c r="J26" s="310">
        <v>0</v>
      </c>
      <c r="K26" s="310">
        <v>0</v>
      </c>
      <c r="L26" s="310">
        <v>0</v>
      </c>
      <c r="M26" s="311">
        <v>0</v>
      </c>
      <c r="N26" s="327"/>
    </row>
    <row r="27" spans="1:14">
      <c r="A27" s="264" t="s">
        <v>1268</v>
      </c>
      <c r="B27" s="264"/>
      <c r="C27" s="44">
        <v>252</v>
      </c>
      <c r="D27" s="45"/>
      <c r="E27" s="263">
        <v>0</v>
      </c>
      <c r="F27" s="309">
        <f t="shared" si="3"/>
        <v>0</v>
      </c>
      <c r="G27" s="310">
        <v>0</v>
      </c>
      <c r="H27" s="310">
        <v>0</v>
      </c>
      <c r="I27" s="310">
        <v>0</v>
      </c>
      <c r="J27" s="310">
        <v>0</v>
      </c>
      <c r="K27" s="310">
        <v>0</v>
      </c>
      <c r="L27" s="310">
        <v>0</v>
      </c>
      <c r="M27" s="311">
        <v>0</v>
      </c>
      <c r="N27" s="327"/>
    </row>
    <row r="28" spans="1:14">
      <c r="A28" s="264" t="s">
        <v>1269</v>
      </c>
      <c r="B28" s="264"/>
      <c r="C28" s="44">
        <v>252</v>
      </c>
      <c r="D28" s="45"/>
      <c r="E28" s="263">
        <v>0</v>
      </c>
      <c r="F28" s="309">
        <f t="shared" si="3"/>
        <v>0</v>
      </c>
      <c r="G28" s="310">
        <v>0</v>
      </c>
      <c r="H28" s="310">
        <v>0</v>
      </c>
      <c r="I28" s="310">
        <v>0</v>
      </c>
      <c r="J28" s="310">
        <v>0</v>
      </c>
      <c r="K28" s="310">
        <v>0</v>
      </c>
      <c r="L28" s="310">
        <v>0</v>
      </c>
      <c r="M28" s="311">
        <v>0</v>
      </c>
      <c r="N28" s="327"/>
    </row>
    <row r="29" spans="1:14">
      <c r="A29" s="264" t="s">
        <v>1270</v>
      </c>
      <c r="B29" s="264"/>
      <c r="C29" s="44">
        <v>252</v>
      </c>
      <c r="D29" s="45"/>
      <c r="E29" s="263">
        <v>0</v>
      </c>
      <c r="F29" s="309">
        <f t="shared" si="3"/>
        <v>0</v>
      </c>
      <c r="G29" s="310">
        <v>0</v>
      </c>
      <c r="H29" s="310">
        <v>0</v>
      </c>
      <c r="I29" s="310">
        <v>0</v>
      </c>
      <c r="J29" s="310">
        <v>0</v>
      </c>
      <c r="K29" s="310">
        <v>0</v>
      </c>
      <c r="L29" s="310">
        <v>0</v>
      </c>
      <c r="M29" s="311">
        <v>0</v>
      </c>
      <c r="N29" s="327" t="s">
        <v>804</v>
      </c>
    </row>
    <row r="30" spans="1:14">
      <c r="A30" s="264" t="s">
        <v>1270</v>
      </c>
      <c r="B30" s="264"/>
      <c r="C30" s="44">
        <v>254</v>
      </c>
      <c r="D30" s="45"/>
      <c r="E30" s="263">
        <v>0</v>
      </c>
      <c r="F30" s="309">
        <f t="shared" si="3"/>
        <v>0</v>
      </c>
      <c r="G30" s="310">
        <v>0</v>
      </c>
      <c r="H30" s="310">
        <v>0</v>
      </c>
      <c r="I30" s="310">
        <v>0</v>
      </c>
      <c r="J30" s="310">
        <v>0</v>
      </c>
      <c r="K30" s="310">
        <v>0</v>
      </c>
      <c r="L30" s="310">
        <v>0</v>
      </c>
      <c r="M30" s="311">
        <v>0</v>
      </c>
      <c r="N30" s="327" t="s">
        <v>804</v>
      </c>
    </row>
    <row r="31" spans="1:14">
      <c r="A31" s="264" t="s">
        <v>1270</v>
      </c>
      <c r="B31" s="264"/>
      <c r="C31" s="44">
        <v>254</v>
      </c>
      <c r="D31" s="45"/>
      <c r="E31" s="263">
        <v>0</v>
      </c>
      <c r="F31" s="309">
        <f t="shared" si="3"/>
        <v>0</v>
      </c>
      <c r="G31" s="310">
        <v>0</v>
      </c>
      <c r="H31" s="310">
        <v>0</v>
      </c>
      <c r="I31" s="310">
        <v>0</v>
      </c>
      <c r="J31" s="310">
        <v>0</v>
      </c>
      <c r="K31" s="310">
        <v>0</v>
      </c>
      <c r="L31" s="310">
        <v>0</v>
      </c>
      <c r="M31" s="311">
        <v>0</v>
      </c>
      <c r="N31" s="327"/>
    </row>
    <row r="32" spans="1:14">
      <c r="A32" s="264" t="s">
        <v>1270</v>
      </c>
      <c r="B32" s="264"/>
      <c r="C32" s="44">
        <v>254</v>
      </c>
      <c r="D32" s="45"/>
      <c r="E32" s="263">
        <v>0</v>
      </c>
      <c r="F32" s="309">
        <f t="shared" si="3"/>
        <v>0</v>
      </c>
      <c r="G32" s="310">
        <v>0</v>
      </c>
      <c r="H32" s="310">
        <v>0</v>
      </c>
      <c r="I32" s="310">
        <v>0</v>
      </c>
      <c r="J32" s="310">
        <v>0</v>
      </c>
      <c r="K32" s="310">
        <v>0</v>
      </c>
      <c r="L32" s="310">
        <v>0</v>
      </c>
      <c r="M32" s="311">
        <v>0</v>
      </c>
      <c r="N32" s="327"/>
    </row>
    <row r="33" spans="1:14" s="381" customFormat="1" ht="29.7">
      <c r="A33" s="632" t="s">
        <v>323</v>
      </c>
      <c r="B33" s="672"/>
      <c r="C33" s="664" t="s">
        <v>324</v>
      </c>
      <c r="D33" s="632"/>
      <c r="E33" s="318">
        <v>0</v>
      </c>
      <c r="F33" s="309">
        <f>SUM(G33:M33)</f>
        <v>0</v>
      </c>
      <c r="G33" s="165">
        <v>0</v>
      </c>
      <c r="H33" s="165">
        <v>0</v>
      </c>
      <c r="I33" s="165">
        <v>0</v>
      </c>
      <c r="J33" s="165">
        <v>0</v>
      </c>
      <c r="K33" s="165">
        <f>313-356+43</f>
        <v>0</v>
      </c>
      <c r="L33" s="165">
        <v>0</v>
      </c>
      <c r="M33" s="166">
        <v>0</v>
      </c>
      <c r="N33" s="325" t="s">
        <v>1045</v>
      </c>
    </row>
    <row r="34" spans="1:14">
      <c r="A34" s="40" t="s">
        <v>326</v>
      </c>
      <c r="B34" s="265"/>
      <c r="C34" s="265"/>
      <c r="D34" s="267"/>
      <c r="E34" s="43">
        <f t="shared" ref="E34:M34" si="4">SUM(E20:E33)</f>
        <v>30</v>
      </c>
      <c r="F34" s="43">
        <f t="shared" si="4"/>
        <v>30</v>
      </c>
      <c r="G34" s="43">
        <f t="shared" si="4"/>
        <v>0</v>
      </c>
      <c r="H34" s="43">
        <f t="shared" si="4"/>
        <v>0</v>
      </c>
      <c r="I34" s="43">
        <f t="shared" si="4"/>
        <v>0</v>
      </c>
      <c r="J34" s="43">
        <f t="shared" si="4"/>
        <v>0</v>
      </c>
      <c r="K34" s="43">
        <f t="shared" si="4"/>
        <v>30</v>
      </c>
      <c r="L34" s="43">
        <f t="shared" si="4"/>
        <v>0</v>
      </c>
      <c r="M34" s="43">
        <f t="shared" si="4"/>
        <v>0</v>
      </c>
      <c r="N34" s="327"/>
    </row>
    <row r="35" spans="1:14">
      <c r="A35" s="40" t="s">
        <v>327</v>
      </c>
      <c r="B35" s="51"/>
      <c r="C35" s="149"/>
      <c r="D35" s="267"/>
      <c r="E35" s="241">
        <v>0</v>
      </c>
      <c r="F35" s="240">
        <f>SUM(G35:M35)</f>
        <v>0</v>
      </c>
      <c r="G35" s="240"/>
      <c r="H35" s="240">
        <v>0</v>
      </c>
      <c r="I35" s="240"/>
      <c r="J35" s="240"/>
      <c r="K35" s="240"/>
      <c r="L35" s="240"/>
      <c r="M35" s="240"/>
      <c r="N35" s="278"/>
    </row>
    <row r="36" spans="1:14">
      <c r="A36" s="40" t="s">
        <v>328</v>
      </c>
      <c r="B36" s="51"/>
      <c r="C36" s="51"/>
      <c r="D36" s="48">
        <f>D34+D18+D13</f>
        <v>4</v>
      </c>
      <c r="E36" s="17">
        <f t="shared" ref="E36:M36" si="5">E34+E18+E13-E35</f>
        <v>758</v>
      </c>
      <c r="F36" s="17">
        <f t="shared" si="5"/>
        <v>780</v>
      </c>
      <c r="G36" s="17">
        <f t="shared" si="5"/>
        <v>0</v>
      </c>
      <c r="H36" s="17">
        <f t="shared" si="5"/>
        <v>0</v>
      </c>
      <c r="I36" s="17">
        <f t="shared" si="5"/>
        <v>0</v>
      </c>
      <c r="J36" s="17">
        <f t="shared" si="5"/>
        <v>0</v>
      </c>
      <c r="K36" s="17">
        <f t="shared" si="5"/>
        <v>780</v>
      </c>
      <c r="L36" s="17">
        <f t="shared" si="5"/>
        <v>0</v>
      </c>
      <c r="M36" s="17">
        <f t="shared" si="5"/>
        <v>0</v>
      </c>
      <c r="N36" s="52"/>
    </row>
    <row r="37" spans="1:14">
      <c r="A37" s="381"/>
      <c r="B37" s="53"/>
      <c r="C37" s="53"/>
      <c r="D37" s="54" t="s">
        <v>1271</v>
      </c>
      <c r="E37" s="55">
        <f>+E36-C43</f>
        <v>559</v>
      </c>
      <c r="F37" s="55">
        <f>+F36-B41</f>
        <v>581</v>
      </c>
      <c r="G37" s="381"/>
      <c r="H37" s="381"/>
      <c r="I37" s="381"/>
      <c r="J37" s="381"/>
      <c r="K37" s="381"/>
      <c r="L37" s="381"/>
      <c r="M37" s="381"/>
      <c r="N37" s="381"/>
    </row>
    <row r="38" spans="1:14">
      <c r="A38" s="381"/>
      <c r="B38" s="251"/>
      <c r="C38" s="219" t="s">
        <v>1272</v>
      </c>
      <c r="D38" s="54"/>
      <c r="E38" s="55">
        <f>+E37</f>
        <v>559</v>
      </c>
      <c r="F38" s="55">
        <f>+F37</f>
        <v>581</v>
      </c>
      <c r="G38" s="381"/>
      <c r="H38" s="381"/>
      <c r="I38" s="381"/>
      <c r="J38" s="381"/>
      <c r="K38" s="381"/>
      <c r="L38" s="381"/>
      <c r="M38" s="381"/>
      <c r="N38" s="381"/>
    </row>
    <row r="39" spans="1:14" s="381" customFormat="1">
      <c r="B39" s="251"/>
      <c r="C39" s="388"/>
      <c r="D39" s="221"/>
      <c r="E39" s="220"/>
      <c r="F39" s="220"/>
    </row>
    <row r="40" spans="1:14">
      <c r="A40" s="56" t="s">
        <v>392</v>
      </c>
      <c r="B40" s="289" t="s">
        <v>393</v>
      </c>
      <c r="C40" s="289" t="s">
        <v>359</v>
      </c>
      <c r="D40" s="29"/>
      <c r="E40" s="29"/>
      <c r="F40" s="29"/>
      <c r="G40" s="262"/>
      <c r="H40" s="381" t="s">
        <v>1073</v>
      </c>
      <c r="I40" s="381"/>
      <c r="J40" s="289" t="s">
        <v>1074</v>
      </c>
      <c r="K40" s="381" t="s">
        <v>1079</v>
      </c>
      <c r="L40" s="381"/>
      <c r="M40" s="394"/>
      <c r="N40" s="381"/>
    </row>
    <row r="41" spans="1:14">
      <c r="A41" s="57" t="s">
        <v>394</v>
      </c>
      <c r="B41" s="58">
        <v>199</v>
      </c>
      <c r="C41" s="58">
        <v>199</v>
      </c>
      <c r="D41" s="381"/>
      <c r="E41" s="381"/>
      <c r="F41" s="381"/>
      <c r="G41" s="381"/>
      <c r="H41" s="381" t="s">
        <v>32</v>
      </c>
      <c r="I41" s="381"/>
      <c r="J41" s="394">
        <f>(+'Prep%Fuelspercentage.direct'!B38*(F37+F35))</f>
        <v>355.63009999999997</v>
      </c>
      <c r="K41" s="394">
        <f>+F37-K42+1</f>
        <v>357</v>
      </c>
      <c r="L41" s="394">
        <f>+K41-J41</f>
        <v>1.3699000000000296</v>
      </c>
      <c r="M41" s="381"/>
      <c r="N41" s="381"/>
    </row>
    <row r="42" spans="1:14">
      <c r="A42" s="264" t="s">
        <v>396</v>
      </c>
      <c r="B42" s="59">
        <v>0</v>
      </c>
      <c r="C42" s="59">
        <v>0</v>
      </c>
      <c r="D42" s="381"/>
      <c r="E42" s="381"/>
      <c r="F42" s="381"/>
      <c r="G42" s="381"/>
      <c r="H42" s="381" t="s">
        <v>33</v>
      </c>
      <c r="I42" s="381"/>
      <c r="J42" s="394">
        <f>+'Prep%Fuelspercentage.direct'!B39*(+F37+F35)</f>
        <v>225.3699</v>
      </c>
      <c r="K42" s="381">
        <v>225</v>
      </c>
      <c r="L42" s="394">
        <f>+K42-J42</f>
        <v>-0.36990000000000123</v>
      </c>
      <c r="M42" s="381"/>
      <c r="N42" s="381"/>
    </row>
    <row r="43" spans="1:14">
      <c r="A43" s="60" t="s">
        <v>397</v>
      </c>
      <c r="B43" s="61">
        <f>B41-B42</f>
        <v>199</v>
      </c>
      <c r="C43" s="61">
        <f>C41-C42</f>
        <v>199</v>
      </c>
      <c r="D43" s="381"/>
      <c r="E43" s="381"/>
      <c r="F43" s="381"/>
      <c r="G43" s="381"/>
      <c r="H43" s="381"/>
      <c r="I43" s="381"/>
      <c r="J43" s="394">
        <f>SUM(J41:J42)</f>
        <v>581</v>
      </c>
      <c r="K43" s="394">
        <f>SUM(K41:K42)</f>
        <v>582</v>
      </c>
      <c r="L43" s="381"/>
      <c r="M43" s="381"/>
      <c r="N43" s="381"/>
    </row>
    <row r="44" spans="1:14">
      <c r="A44" s="56"/>
      <c r="B44" s="289" t="s">
        <v>393</v>
      </c>
      <c r="C44" s="687" t="s">
        <v>359</v>
      </c>
      <c r="D44" s="381"/>
      <c r="E44" s="381"/>
      <c r="F44" s="381"/>
      <c r="G44" s="381"/>
      <c r="H44" s="381" t="s">
        <v>1237</v>
      </c>
      <c r="I44" s="381"/>
      <c r="J44" s="262">
        <v>0</v>
      </c>
      <c r="K44" s="262">
        <v>0</v>
      </c>
      <c r="L44" s="381" t="s">
        <v>33</v>
      </c>
      <c r="M44" s="381"/>
      <c r="N44" s="381"/>
    </row>
    <row r="45" spans="1:14">
      <c r="A45" s="381"/>
      <c r="B45" s="289" t="s">
        <v>360</v>
      </c>
      <c r="C45" s="687" t="s">
        <v>360</v>
      </c>
      <c r="D45" s="381"/>
      <c r="E45" s="381"/>
      <c r="F45" s="381"/>
      <c r="G45" s="381"/>
      <c r="H45" s="381"/>
      <c r="I45" s="381"/>
      <c r="J45" s="394">
        <f>+J43-J44</f>
        <v>581</v>
      </c>
      <c r="K45" s="394">
        <f>+K43-K44</f>
        <v>582</v>
      </c>
      <c r="L45" s="381"/>
      <c r="M45" s="381"/>
      <c r="N45" s="381"/>
    </row>
    <row r="46" spans="1:14">
      <c r="A46" s="381" t="s">
        <v>1273</v>
      </c>
      <c r="B46" s="394">
        <v>131</v>
      </c>
      <c r="C46" s="687">
        <v>131</v>
      </c>
      <c r="D46" s="381"/>
      <c r="E46" s="381"/>
      <c r="F46" s="381"/>
      <c r="G46" s="381"/>
      <c r="H46" s="381"/>
      <c r="I46" s="381"/>
      <c r="J46" s="381"/>
      <c r="K46" s="381"/>
      <c r="L46" s="381"/>
      <c r="M46" s="381"/>
      <c r="N46" s="381"/>
    </row>
    <row r="47" spans="1:14">
      <c r="A47" s="381" t="s">
        <v>1274</v>
      </c>
      <c r="B47" s="429">
        <v>68</v>
      </c>
      <c r="C47" s="501">
        <v>68</v>
      </c>
      <c r="D47" s="381"/>
      <c r="E47" s="381"/>
      <c r="F47" s="381"/>
      <c r="G47" s="381"/>
      <c r="H47" s="381" t="s">
        <v>359</v>
      </c>
      <c r="I47" s="381"/>
      <c r="J47" s="381"/>
      <c r="K47" s="381"/>
      <c r="L47" s="381"/>
      <c r="M47" s="381"/>
      <c r="N47" s="381"/>
    </row>
    <row r="48" spans="1:14">
      <c r="A48" s="289" t="s">
        <v>1275</v>
      </c>
      <c r="B48" s="394">
        <f>SUM(B46:B47)</f>
        <v>199</v>
      </c>
      <c r="C48" s="687">
        <f>SUM(C46:C47)</f>
        <v>199</v>
      </c>
      <c r="D48" s="381"/>
      <c r="E48" s="381"/>
      <c r="F48" s="381"/>
      <c r="G48" s="381"/>
      <c r="H48" s="381" t="s">
        <v>1073</v>
      </c>
      <c r="I48" s="381"/>
      <c r="J48" s="289" t="s">
        <v>1074</v>
      </c>
      <c r="K48" s="381" t="s">
        <v>1079</v>
      </c>
      <c r="L48" s="381"/>
      <c r="M48" s="381"/>
      <c r="N48" s="381"/>
    </row>
    <row r="49" spans="1:14">
      <c r="A49" s="381"/>
      <c r="B49" s="381"/>
      <c r="C49" s="687"/>
      <c r="D49" s="381"/>
      <c r="E49" s="381"/>
      <c r="F49" s="381"/>
      <c r="G49" s="381"/>
      <c r="H49" s="381" t="s">
        <v>32</v>
      </c>
      <c r="I49" s="381"/>
      <c r="J49" s="520">
        <v>342</v>
      </c>
      <c r="K49" s="520">
        <v>307</v>
      </c>
      <c r="L49" s="394">
        <f>+K49-J49</f>
        <v>-35</v>
      </c>
      <c r="M49" s="381"/>
      <c r="N49" s="381"/>
    </row>
    <row r="50" spans="1:14">
      <c r="A50" s="381"/>
      <c r="B50" s="381"/>
      <c r="C50" s="687"/>
      <c r="D50" s="381"/>
      <c r="E50" s="381"/>
      <c r="F50" s="381"/>
      <c r="G50" s="381"/>
      <c r="H50" s="381" t="s">
        <v>33</v>
      </c>
      <c r="I50" s="381"/>
      <c r="J50" s="520">
        <v>217</v>
      </c>
      <c r="K50" s="29">
        <v>252</v>
      </c>
      <c r="L50" s="394">
        <f>+K50-J50</f>
        <v>35</v>
      </c>
      <c r="M50" s="381"/>
      <c r="N50" s="381"/>
    </row>
    <row r="51" spans="1:14">
      <c r="A51" s="381"/>
      <c r="B51" s="381"/>
      <c r="C51" s="687"/>
      <c r="D51" s="381"/>
      <c r="E51" s="381"/>
      <c r="F51" s="381"/>
      <c r="G51" s="381"/>
      <c r="H51" s="381"/>
      <c r="I51" s="381"/>
      <c r="J51" s="520">
        <f>SUM(J49:J50)</f>
        <v>559</v>
      </c>
      <c r="K51" s="520">
        <f>SUM(K49:K50)</f>
        <v>559</v>
      </c>
      <c r="L51" s="29"/>
      <c r="M51" s="381"/>
      <c r="N51" s="381"/>
    </row>
    <row r="52" spans="1:14">
      <c r="A52" s="381"/>
      <c r="B52" s="381"/>
      <c r="C52" s="687"/>
      <c r="D52" s="381"/>
      <c r="E52" s="381"/>
      <c r="F52" s="381"/>
      <c r="G52" s="381"/>
      <c r="H52" s="381" t="s">
        <v>1237</v>
      </c>
      <c r="I52" s="381"/>
      <c r="J52" s="227">
        <v>0</v>
      </c>
      <c r="K52" s="227">
        <v>0</v>
      </c>
      <c r="L52" s="29" t="s">
        <v>33</v>
      </c>
      <c r="M52" s="381"/>
      <c r="N52" s="381"/>
    </row>
    <row r="53" spans="1:14">
      <c r="A53" s="381"/>
      <c r="B53" s="381"/>
      <c r="C53" s="687"/>
      <c r="D53" s="381"/>
      <c r="E53" s="381"/>
      <c r="F53" s="381"/>
      <c r="G53" s="381"/>
      <c r="H53" s="381"/>
      <c r="I53" s="381"/>
      <c r="J53" s="394">
        <f>+J51-J52</f>
        <v>559</v>
      </c>
      <c r="K53" s="394">
        <f>+K51-K52</f>
        <v>559</v>
      </c>
      <c r="L53" s="29"/>
      <c r="M53" s="381"/>
      <c r="N53" s="381"/>
    </row>
    <row r="55" spans="1:14" s="381" customFormat="1" ht="15.6" thickBot="1">
      <c r="A55" s="31"/>
      <c r="B55" s="31"/>
      <c r="C55" s="32"/>
      <c r="D55" s="31"/>
      <c r="E55" s="31"/>
      <c r="F55" s="31"/>
      <c r="G55" s="31"/>
      <c r="H55" s="31"/>
      <c r="I55" s="31"/>
      <c r="J55" s="31"/>
      <c r="K55" s="31"/>
      <c r="L55" s="31"/>
      <c r="M55" s="31"/>
      <c r="N55" s="562"/>
    </row>
    <row r="56" spans="1:14" s="381" customFormat="1" ht="15.6">
      <c r="A56" s="764" t="s">
        <v>330</v>
      </c>
      <c r="B56" s="765"/>
      <c r="C56" s="765"/>
      <c r="D56" s="765"/>
      <c r="E56" s="765"/>
      <c r="F56" s="765"/>
      <c r="G56" s="581"/>
      <c r="H56" s="31"/>
      <c r="I56" s="31"/>
      <c r="J56" s="31"/>
      <c r="K56" s="31"/>
      <c r="L56" s="31"/>
      <c r="M56" s="31"/>
      <c r="N56" s="562"/>
    </row>
    <row r="57" spans="1:14" s="381" customFormat="1" ht="15.6">
      <c r="A57" s="738"/>
      <c r="B57" s="739"/>
      <c r="C57" s="739"/>
      <c r="D57" s="739"/>
      <c r="E57" s="739"/>
      <c r="F57" s="739"/>
      <c r="G57" s="582"/>
      <c r="H57" s="31"/>
      <c r="I57" s="31"/>
      <c r="J57" s="31"/>
      <c r="K57" s="31"/>
      <c r="L57" s="31"/>
      <c r="M57" s="31"/>
      <c r="N57" s="562"/>
    </row>
    <row r="58" spans="1:14" s="381" customFormat="1">
      <c r="A58" s="740" t="s">
        <v>331</v>
      </c>
      <c r="B58" s="741"/>
      <c r="C58" s="583"/>
      <c r="D58" s="583"/>
      <c r="E58" s="583"/>
      <c r="F58" s="583"/>
      <c r="G58" s="582"/>
      <c r="H58" s="31"/>
      <c r="I58" s="31"/>
      <c r="J58" s="31"/>
      <c r="K58" s="31"/>
      <c r="L58" s="31"/>
      <c r="M58" s="31"/>
      <c r="N58" s="562"/>
    </row>
    <row r="59" spans="1:14" s="381" customFormat="1">
      <c r="A59" s="584" t="s">
        <v>480</v>
      </c>
      <c r="B59" s="585">
        <f>+E36</f>
        <v>758</v>
      </c>
      <c r="C59" s="586"/>
      <c r="D59" s="587"/>
      <c r="E59" s="587"/>
      <c r="F59" s="587"/>
      <c r="G59" s="582"/>
      <c r="H59" s="31"/>
      <c r="I59" s="31"/>
      <c r="J59" s="31"/>
      <c r="K59" s="31"/>
      <c r="L59" s="31"/>
      <c r="M59" s="31"/>
      <c r="N59" s="562"/>
    </row>
    <row r="60" spans="1:14" s="381" customFormat="1">
      <c r="A60" s="588" t="s">
        <v>481</v>
      </c>
      <c r="B60" s="589">
        <f>+F36</f>
        <v>780</v>
      </c>
      <c r="C60" s="586"/>
      <c r="D60" s="587"/>
      <c r="E60" s="587"/>
      <c r="F60" s="587"/>
      <c r="G60" s="582"/>
      <c r="H60" s="31"/>
      <c r="I60" s="31"/>
      <c r="J60" s="31"/>
      <c r="K60" s="31"/>
      <c r="L60" s="31"/>
      <c r="M60" s="31"/>
      <c r="N60" s="562"/>
    </row>
    <row r="61" spans="1:14" s="381" customFormat="1">
      <c r="A61" s="590" t="s">
        <v>334</v>
      </c>
      <c r="B61" s="591">
        <f>+B60-B59</f>
        <v>22</v>
      </c>
      <c r="C61" s="586"/>
      <c r="D61" s="587"/>
      <c r="E61" s="587"/>
      <c r="F61" s="587"/>
      <c r="G61" s="582"/>
      <c r="H61" s="31"/>
      <c r="I61" s="31"/>
      <c r="J61" s="31"/>
      <c r="K61" s="31"/>
      <c r="L61" s="31"/>
      <c r="M61" s="31"/>
      <c r="N61" s="562"/>
    </row>
    <row r="62" spans="1:14" s="381" customFormat="1">
      <c r="A62" s="590" t="s">
        <v>335</v>
      </c>
      <c r="B62" s="592">
        <f>+B61/B59</f>
        <v>2.9023746701846966E-2</v>
      </c>
      <c r="C62" s="586"/>
      <c r="D62" s="587"/>
      <c r="E62" s="587"/>
      <c r="F62" s="587"/>
      <c r="G62" s="582"/>
      <c r="H62" s="31"/>
      <c r="I62" s="31"/>
      <c r="J62" s="31"/>
      <c r="K62" s="31"/>
      <c r="L62" s="31"/>
      <c r="M62" s="31"/>
      <c r="N62" s="562"/>
    </row>
    <row r="63" spans="1:14" s="381" customFormat="1">
      <c r="A63" s="593"/>
      <c r="B63" s="587"/>
      <c r="C63" s="686"/>
      <c r="D63" s="587"/>
      <c r="E63" s="587"/>
      <c r="F63" s="587"/>
      <c r="G63" s="582"/>
      <c r="H63" s="31"/>
      <c r="I63" s="31"/>
      <c r="J63" s="31"/>
      <c r="K63" s="31"/>
      <c r="L63" s="31"/>
      <c r="M63" s="31"/>
      <c r="N63" s="562"/>
    </row>
    <row r="64" spans="1:14" s="381" customFormat="1">
      <c r="A64" s="731" t="s">
        <v>336</v>
      </c>
      <c r="B64" s="732"/>
      <c r="C64" s="732"/>
      <c r="D64" s="732"/>
      <c r="E64" s="732"/>
      <c r="F64" s="732"/>
      <c r="G64" s="582"/>
      <c r="H64" s="31"/>
      <c r="I64" s="31"/>
      <c r="J64" s="31"/>
      <c r="K64" s="31"/>
      <c r="L64" s="31"/>
      <c r="M64" s="31"/>
      <c r="N64" s="562"/>
    </row>
    <row r="65" spans="1:14" s="381" customFormat="1">
      <c r="A65" s="742"/>
      <c r="B65" s="743"/>
      <c r="C65" s="743"/>
      <c r="D65" s="743"/>
      <c r="E65" s="743"/>
      <c r="F65" s="744"/>
      <c r="G65" s="582"/>
      <c r="H65" s="31"/>
      <c r="I65" s="31"/>
      <c r="J65" s="31"/>
      <c r="K65" s="31"/>
      <c r="L65" s="31"/>
      <c r="M65" s="31"/>
      <c r="N65" s="562"/>
    </row>
    <row r="66" spans="1:14" s="381" customFormat="1">
      <c r="A66" s="594"/>
      <c r="B66" s="595"/>
      <c r="C66" s="595"/>
      <c r="D66" s="595"/>
      <c r="E66" s="595"/>
      <c r="F66" s="595"/>
      <c r="G66" s="582"/>
      <c r="H66" s="31"/>
      <c r="I66" s="31"/>
      <c r="J66" s="31"/>
      <c r="K66" s="31"/>
      <c r="L66" s="31"/>
      <c r="M66" s="31"/>
      <c r="N66" s="562"/>
    </row>
    <row r="67" spans="1:14" s="381" customFormat="1">
      <c r="A67" s="596" t="s">
        <v>337</v>
      </c>
      <c r="B67" s="587"/>
      <c r="C67" s="686"/>
      <c r="D67" s="587"/>
      <c r="E67" s="587"/>
      <c r="F67" s="587"/>
      <c r="G67" s="582"/>
      <c r="H67" s="31"/>
      <c r="I67" s="31"/>
      <c r="J67" s="31"/>
      <c r="K67" s="31"/>
      <c r="L67" s="31"/>
      <c r="M67" s="31"/>
      <c r="N67" s="562"/>
    </row>
    <row r="68" spans="1:14" s="381" customFormat="1">
      <c r="A68" s="735"/>
      <c r="B68" s="736"/>
      <c r="C68" s="736"/>
      <c r="D68" s="736"/>
      <c r="E68" s="736"/>
      <c r="F68" s="737"/>
      <c r="G68" s="582"/>
      <c r="H68" s="31"/>
      <c r="I68" s="31"/>
      <c r="J68" s="31"/>
      <c r="K68" s="31"/>
      <c r="L68" s="31"/>
      <c r="M68" s="31"/>
      <c r="N68" s="562"/>
    </row>
    <row r="69" spans="1:14" s="381" customFormat="1">
      <c r="A69" s="593"/>
      <c r="B69" s="587"/>
      <c r="C69" s="686"/>
      <c r="D69" s="587"/>
      <c r="E69" s="587"/>
      <c r="F69" s="587"/>
      <c r="G69" s="582"/>
      <c r="H69" s="31"/>
      <c r="I69" s="31"/>
      <c r="J69" s="31"/>
      <c r="K69" s="31"/>
      <c r="L69" s="31"/>
      <c r="M69" s="31"/>
      <c r="N69" s="562"/>
    </row>
    <row r="70" spans="1:14" s="381" customFormat="1">
      <c r="A70" s="731" t="s">
        <v>365</v>
      </c>
      <c r="B70" s="732"/>
      <c r="C70" s="732"/>
      <c r="D70" s="732"/>
      <c r="E70" s="732"/>
      <c r="F70" s="732"/>
      <c r="G70" s="582"/>
      <c r="H70" s="31"/>
      <c r="I70" s="31"/>
      <c r="J70" s="31"/>
      <c r="K70" s="31"/>
      <c r="L70" s="31"/>
      <c r="M70" s="31"/>
      <c r="N70" s="562"/>
    </row>
    <row r="71" spans="1:14" s="381" customFormat="1">
      <c r="A71" s="733" t="s">
        <v>849</v>
      </c>
      <c r="B71" s="734"/>
      <c r="C71" s="734"/>
      <c r="D71" s="734"/>
      <c r="E71" s="734"/>
      <c r="F71" s="734"/>
      <c r="G71" s="582"/>
      <c r="H71" s="31"/>
      <c r="I71" s="31"/>
      <c r="J71" s="31"/>
      <c r="K71" s="31"/>
      <c r="L71" s="31"/>
      <c r="M71" s="31"/>
      <c r="N71" s="562"/>
    </row>
    <row r="72" spans="1:14" s="381" customFormat="1">
      <c r="A72" s="735"/>
      <c r="B72" s="736"/>
      <c r="C72" s="736"/>
      <c r="D72" s="736"/>
      <c r="E72" s="736"/>
      <c r="F72" s="737"/>
      <c r="G72" s="582"/>
      <c r="H72" s="31"/>
      <c r="I72" s="31"/>
      <c r="J72" s="31"/>
      <c r="K72" s="31"/>
      <c r="L72" s="31"/>
      <c r="M72" s="31"/>
      <c r="N72" s="562"/>
    </row>
    <row r="73" spans="1:14" s="381" customFormat="1">
      <c r="A73" s="596"/>
      <c r="B73" s="587"/>
      <c r="C73" s="686"/>
      <c r="D73" s="587"/>
      <c r="E73" s="587"/>
      <c r="F73" s="587"/>
      <c r="G73" s="582"/>
      <c r="H73" s="31"/>
      <c r="I73" s="31"/>
      <c r="J73" s="31"/>
      <c r="K73" s="31"/>
      <c r="L73" s="31"/>
      <c r="M73" s="31"/>
      <c r="N73" s="562"/>
    </row>
    <row r="74" spans="1:14" s="381" customFormat="1">
      <c r="A74" s="731" t="s">
        <v>340</v>
      </c>
      <c r="B74" s="732"/>
      <c r="C74" s="732"/>
      <c r="D74" s="732"/>
      <c r="E74" s="732"/>
      <c r="F74" s="587"/>
      <c r="G74" s="582"/>
      <c r="H74" s="31"/>
      <c r="I74" s="31"/>
      <c r="J74" s="31"/>
      <c r="K74" s="31"/>
      <c r="L74" s="31"/>
      <c r="M74" s="31"/>
      <c r="N74" s="562"/>
    </row>
    <row r="75" spans="1:14" s="381" customFormat="1">
      <c r="A75" s="728"/>
      <c r="B75" s="729"/>
      <c r="C75" s="729"/>
      <c r="D75" s="729"/>
      <c r="E75" s="729"/>
      <c r="F75" s="730"/>
      <c r="G75" s="582"/>
      <c r="H75" s="31"/>
      <c r="I75" s="31"/>
      <c r="J75" s="31"/>
      <c r="K75" s="31"/>
      <c r="L75" s="31"/>
      <c r="M75" s="31"/>
      <c r="N75" s="562"/>
    </row>
    <row r="76" spans="1:14" s="381" customFormat="1">
      <c r="A76" s="593"/>
      <c r="B76" s="587"/>
      <c r="C76" s="686"/>
      <c r="D76" s="587"/>
      <c r="E76" s="587"/>
      <c r="F76" s="587"/>
      <c r="G76" s="582"/>
      <c r="H76" s="31"/>
      <c r="I76" s="31"/>
      <c r="J76" s="31"/>
      <c r="K76" s="31"/>
      <c r="L76" s="31"/>
      <c r="M76" s="31"/>
      <c r="N76" s="562"/>
    </row>
    <row r="77" spans="1:14" s="381" customFormat="1">
      <c r="A77" s="596" t="s">
        <v>341</v>
      </c>
      <c r="B77" s="587"/>
      <c r="C77" s="686"/>
      <c r="D77" s="587"/>
      <c r="E77" s="587"/>
      <c r="F77" s="587"/>
      <c r="G77" s="582"/>
      <c r="H77" s="31"/>
      <c r="I77" s="31"/>
      <c r="J77" s="31"/>
      <c r="K77" s="31"/>
      <c r="L77" s="31"/>
      <c r="M77" s="31"/>
      <c r="N77" s="562"/>
    </row>
    <row r="78" spans="1:14" s="381" customFormat="1">
      <c r="A78" s="597" t="s">
        <v>342</v>
      </c>
      <c r="B78" s="587"/>
      <c r="C78" s="686"/>
      <c r="D78" s="587"/>
      <c r="E78" s="587"/>
      <c r="F78" s="587"/>
      <c r="G78" s="582"/>
      <c r="H78" s="31"/>
      <c r="I78" s="31"/>
      <c r="J78" s="31"/>
      <c r="K78" s="31"/>
      <c r="L78" s="31"/>
      <c r="M78" s="31"/>
      <c r="N78" s="562"/>
    </row>
    <row r="79" spans="1:14" s="381" customFormat="1">
      <c r="A79" s="719" t="s">
        <v>343</v>
      </c>
      <c r="B79" s="720"/>
      <c r="C79" s="720"/>
      <c r="D79" s="720"/>
      <c r="E79" s="720"/>
      <c r="F79" s="720"/>
      <c r="G79" s="582"/>
      <c r="H79" s="31"/>
      <c r="I79" s="31"/>
      <c r="J79" s="31"/>
      <c r="K79" s="31"/>
      <c r="L79" s="31"/>
      <c r="M79" s="31"/>
      <c r="N79" s="562"/>
    </row>
    <row r="80" spans="1:14" s="381" customFormat="1">
      <c r="A80" s="721"/>
      <c r="B80" s="722"/>
      <c r="C80" s="722"/>
      <c r="D80" s="722"/>
      <c r="E80" s="722"/>
      <c r="F80" s="723"/>
      <c r="G80" s="582"/>
      <c r="H80" s="31"/>
      <c r="I80" s="31"/>
      <c r="J80" s="31"/>
      <c r="K80" s="31"/>
      <c r="L80" s="31"/>
      <c r="M80" s="31"/>
      <c r="N80" s="562"/>
    </row>
    <row r="81" spans="1:14" s="381" customFormat="1">
      <c r="A81" s="724"/>
      <c r="B81" s="725"/>
      <c r="C81" s="725"/>
      <c r="D81" s="725"/>
      <c r="E81" s="725"/>
      <c r="F81" s="725"/>
      <c r="G81" s="582"/>
      <c r="H81" s="31"/>
      <c r="I81" s="31"/>
      <c r="J81" s="31"/>
      <c r="K81" s="31"/>
      <c r="L81" s="31"/>
      <c r="M81" s="31"/>
      <c r="N81" s="562"/>
    </row>
    <row r="82" spans="1:14" s="381" customFormat="1">
      <c r="A82" s="597" t="s">
        <v>344</v>
      </c>
      <c r="B82" s="587"/>
      <c r="C82" s="686"/>
      <c r="D82" s="587"/>
      <c r="E82" s="587"/>
      <c r="F82" s="587"/>
      <c r="G82" s="582"/>
      <c r="H82" s="31"/>
      <c r="I82" s="31"/>
      <c r="J82" s="31"/>
      <c r="K82" s="31"/>
      <c r="L82" s="31"/>
      <c r="M82" s="31"/>
      <c r="N82" s="562"/>
    </row>
    <row r="83" spans="1:14" s="381" customFormat="1">
      <c r="A83" s="726" t="s">
        <v>345</v>
      </c>
      <c r="B83" s="727"/>
      <c r="C83" s="727"/>
      <c r="D83" s="727"/>
      <c r="E83" s="727"/>
      <c r="F83" s="727"/>
      <c r="G83" s="582"/>
      <c r="H83" s="31"/>
      <c r="I83" s="31"/>
      <c r="J83" s="31"/>
      <c r="K83" s="31"/>
      <c r="L83" s="31"/>
      <c r="M83" s="31"/>
      <c r="N83" s="562"/>
    </row>
    <row r="84" spans="1:14" s="381" customFormat="1">
      <c r="A84" s="728"/>
      <c r="B84" s="729"/>
      <c r="C84" s="729"/>
      <c r="D84" s="729"/>
      <c r="E84" s="729"/>
      <c r="F84" s="730"/>
      <c r="G84" s="582"/>
      <c r="H84" s="31"/>
      <c r="I84" s="31"/>
      <c r="J84" s="31"/>
      <c r="K84" s="31"/>
      <c r="L84" s="31"/>
      <c r="M84" s="31"/>
      <c r="N84" s="562"/>
    </row>
    <row r="85" spans="1:14" s="381" customFormat="1" ht="15.6" thickBot="1">
      <c r="A85" s="598"/>
      <c r="B85" s="599"/>
      <c r="C85" s="600"/>
      <c r="D85" s="599"/>
      <c r="E85" s="599"/>
      <c r="F85" s="599"/>
      <c r="G85" s="601"/>
      <c r="H85" s="31"/>
      <c r="I85" s="31"/>
      <c r="J85" s="31"/>
      <c r="K85" s="31"/>
      <c r="L85" s="31"/>
      <c r="M85" s="31"/>
      <c r="N85" s="562"/>
    </row>
    <row r="86" spans="1:14" s="381" customFormat="1">
      <c r="A86" s="31"/>
      <c r="B86" s="31"/>
      <c r="C86" s="32"/>
      <c r="D86" s="31"/>
      <c r="E86" s="31"/>
      <c r="F86" s="31"/>
      <c r="G86" s="31"/>
      <c r="H86" s="31"/>
      <c r="I86" s="31"/>
      <c r="J86" s="31"/>
      <c r="K86" s="31"/>
      <c r="L86" s="31"/>
      <c r="M86" s="31"/>
      <c r="N86" s="562"/>
    </row>
    <row r="87" spans="1:14" s="381" customFormat="1">
      <c r="C87" s="687"/>
    </row>
  </sheetData>
  <mergeCells count="17">
    <mergeCell ref="A1:N1"/>
    <mergeCell ref="A56:F56"/>
    <mergeCell ref="A57:F57"/>
    <mergeCell ref="A58:B58"/>
    <mergeCell ref="A64:F64"/>
    <mergeCell ref="A65:F65"/>
    <mergeCell ref="A68:F68"/>
    <mergeCell ref="A70:F70"/>
    <mergeCell ref="A71:F71"/>
    <mergeCell ref="A72:F72"/>
    <mergeCell ref="A83:F83"/>
    <mergeCell ref="A84:F84"/>
    <mergeCell ref="A74:E74"/>
    <mergeCell ref="A75:F75"/>
    <mergeCell ref="A79:F79"/>
    <mergeCell ref="A80:F80"/>
    <mergeCell ref="A81:F81"/>
  </mergeCells>
  <printOptions horizontalCentered="1"/>
  <pageMargins left="0.45" right="0.45" top="0.75" bottom="0.75" header="0.3" footer="0.3"/>
  <pageSetup scale="59" orientation="landscape" r:id="rId1"/>
  <headerFooter>
    <oddHeader xml:space="preserve">&amp;CDRAFT NOT FOR DISTRIBUTION, INTERNAL USE ONLY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2" tint="-0.249977111117893"/>
    <pageSetUpPr fitToPage="1"/>
  </sheetPr>
  <dimension ref="A1:O75"/>
  <sheetViews>
    <sheetView zoomScaleNormal="100" workbookViewId="0">
      <selection sqref="A1:N1"/>
    </sheetView>
  </sheetViews>
  <sheetFormatPr defaultRowHeight="14.85"/>
  <cols>
    <col min="1" max="1" width="39.5703125" customWidth="1"/>
    <col min="2" max="2" width="6.28515625" bestFit="1" customWidth="1"/>
    <col min="3" max="3" width="7.7109375" style="30" customWidth="1"/>
    <col min="4" max="4" width="11.85546875" bestFit="1"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29.85546875" customWidth="1"/>
    <col min="15" max="15" width="29.140625" customWidth="1"/>
  </cols>
  <sheetData>
    <row r="1" spans="1:14" ht="15.6">
      <c r="A1" s="745" t="s">
        <v>227</v>
      </c>
      <c r="B1" s="745"/>
      <c r="C1" s="745"/>
      <c r="D1" s="745"/>
      <c r="E1" s="745"/>
      <c r="F1" s="745"/>
      <c r="G1" s="745"/>
      <c r="H1" s="745"/>
      <c r="I1" s="745"/>
      <c r="J1" s="745"/>
      <c r="K1" s="745"/>
      <c r="L1" s="745"/>
      <c r="M1" s="745"/>
      <c r="N1" s="745"/>
    </row>
    <row r="2" spans="1:14">
      <c r="A2" s="65" t="s">
        <v>241</v>
      </c>
      <c r="B2" s="381"/>
      <c r="C2" s="687"/>
      <c r="D2" s="381"/>
      <c r="E2" s="381"/>
      <c r="F2" s="381"/>
      <c r="G2" s="381"/>
      <c r="H2" s="381"/>
      <c r="I2" s="381"/>
      <c r="J2" s="381"/>
      <c r="K2" s="381"/>
      <c r="L2" s="381"/>
      <c r="M2" s="381"/>
      <c r="N2" s="381"/>
    </row>
    <row r="3" spans="1:14">
      <c r="A3" s="68" t="s">
        <v>1276</v>
      </c>
      <c r="B3" s="381"/>
      <c r="C3" s="687"/>
      <c r="D3" s="381"/>
      <c r="E3" s="381"/>
      <c r="F3" s="554" t="s">
        <v>275</v>
      </c>
      <c r="G3" s="381"/>
      <c r="H3" s="381"/>
      <c r="I3" s="381"/>
      <c r="J3" s="381"/>
      <c r="K3" s="381"/>
      <c r="L3" s="381"/>
      <c r="M3" s="381"/>
      <c r="N3" s="381"/>
    </row>
    <row r="4" spans="1:14">
      <c r="A4" s="68" t="s">
        <v>1277</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v>0</v>
      </c>
      <c r="G7" s="310">
        <v>0</v>
      </c>
      <c r="H7" s="310">
        <v>0</v>
      </c>
      <c r="I7" s="310">
        <v>0</v>
      </c>
      <c r="J7" s="310">
        <v>0</v>
      </c>
      <c r="K7" s="310">
        <v>0</v>
      </c>
      <c r="L7" s="310">
        <v>0</v>
      </c>
      <c r="M7" s="311">
        <v>0</v>
      </c>
      <c r="N7" s="32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355"/>
    </row>
    <row r="17" spans="1:15">
      <c r="A17" s="69" t="s">
        <v>289</v>
      </c>
      <c r="B17" s="70"/>
      <c r="C17" s="71"/>
      <c r="D17" s="70"/>
      <c r="E17" s="70"/>
      <c r="F17" s="72"/>
      <c r="G17" s="72"/>
      <c r="H17" s="72"/>
      <c r="I17" s="72"/>
      <c r="J17" s="72"/>
      <c r="K17" s="72"/>
      <c r="L17" s="72"/>
      <c r="M17" s="72"/>
      <c r="N17" s="72"/>
      <c r="O17" s="381"/>
    </row>
    <row r="18" spans="1:15">
      <c r="A18" s="264" t="s">
        <v>355</v>
      </c>
      <c r="B18" s="264"/>
      <c r="C18" s="44">
        <v>252</v>
      </c>
      <c r="D18" s="45"/>
      <c r="E18" s="263">
        <v>0</v>
      </c>
      <c r="F18" s="357">
        <f>SUM(G18:M18)</f>
        <v>0</v>
      </c>
      <c r="G18" s="310">
        <v>0</v>
      </c>
      <c r="H18" s="310">
        <v>0</v>
      </c>
      <c r="I18" s="310">
        <v>0</v>
      </c>
      <c r="J18" s="310">
        <v>0</v>
      </c>
      <c r="K18" s="310">
        <v>0</v>
      </c>
      <c r="L18" s="310">
        <v>0</v>
      </c>
      <c r="M18" s="311">
        <v>0</v>
      </c>
      <c r="N18" s="327"/>
      <c r="O18" s="471"/>
    </row>
    <row r="19" spans="1:15">
      <c r="A19" s="264" t="s">
        <v>355</v>
      </c>
      <c r="B19" s="264"/>
      <c r="C19" s="44">
        <v>253</v>
      </c>
      <c r="D19" s="45"/>
      <c r="E19" s="263">
        <v>0</v>
      </c>
      <c r="F19" s="357">
        <f>SUM(G19:M19)</f>
        <v>0</v>
      </c>
      <c r="G19" s="310">
        <v>0</v>
      </c>
      <c r="H19" s="310">
        <v>0</v>
      </c>
      <c r="I19" s="310">
        <v>0</v>
      </c>
      <c r="J19" s="310">
        <v>0</v>
      </c>
      <c r="K19" s="310">
        <v>0</v>
      </c>
      <c r="L19" s="310">
        <v>0</v>
      </c>
      <c r="M19" s="311">
        <v>0</v>
      </c>
      <c r="N19" s="326"/>
      <c r="O19" s="381"/>
    </row>
    <row r="20" spans="1:15">
      <c r="A20" s="264" t="s">
        <v>355</v>
      </c>
      <c r="B20" s="264"/>
      <c r="C20" s="44">
        <v>253</v>
      </c>
      <c r="D20" s="267"/>
      <c r="E20" s="263">
        <v>0</v>
      </c>
      <c r="F20" s="357">
        <f>SUM(G20:M20)</f>
        <v>0</v>
      </c>
      <c r="G20" s="310">
        <v>0</v>
      </c>
      <c r="H20" s="310">
        <v>0</v>
      </c>
      <c r="I20" s="310">
        <v>0</v>
      </c>
      <c r="J20" s="310">
        <v>0</v>
      </c>
      <c r="K20" s="310">
        <v>0</v>
      </c>
      <c r="L20" s="310">
        <v>0</v>
      </c>
      <c r="M20" s="311">
        <v>0</v>
      </c>
      <c r="N20" s="355"/>
      <c r="O20" s="381"/>
    </row>
    <row r="21" spans="1:15" s="7" customFormat="1">
      <c r="A21" s="264" t="s">
        <v>355</v>
      </c>
      <c r="B21" s="264"/>
      <c r="C21" s="44">
        <v>253</v>
      </c>
      <c r="D21" s="267"/>
      <c r="E21" s="263">
        <v>0</v>
      </c>
      <c r="F21" s="357">
        <f>SUM(G21:M21)</f>
        <v>0</v>
      </c>
      <c r="G21" s="310">
        <v>0</v>
      </c>
      <c r="H21" s="310">
        <v>0</v>
      </c>
      <c r="I21" s="310">
        <v>0</v>
      </c>
      <c r="J21" s="310">
        <v>0</v>
      </c>
      <c r="K21" s="310">
        <v>0</v>
      </c>
      <c r="L21" s="310">
        <v>0</v>
      </c>
      <c r="M21" s="311">
        <v>0</v>
      </c>
      <c r="N21" s="326"/>
      <c r="O21" s="358"/>
    </row>
    <row r="22" spans="1:15">
      <c r="A22" s="40" t="s">
        <v>294</v>
      </c>
      <c r="B22" s="265"/>
      <c r="C22" s="266"/>
      <c r="D22" s="267">
        <f>SUM(D18:D21)</f>
        <v>0</v>
      </c>
      <c r="E22" s="43">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c r="O22" s="381"/>
    </row>
    <row r="23" spans="1:15" s="7" customFormat="1">
      <c r="A23" s="127" t="s">
        <v>295</v>
      </c>
      <c r="B23" s="128"/>
      <c r="C23" s="128"/>
      <c r="D23" s="128"/>
      <c r="E23" s="89"/>
      <c r="F23" s="89"/>
      <c r="G23" s="89"/>
      <c r="H23" s="89"/>
      <c r="I23" s="89"/>
      <c r="J23" s="89"/>
      <c r="K23" s="89"/>
      <c r="L23" s="89"/>
      <c r="M23" s="89"/>
      <c r="N23" s="130"/>
      <c r="O23" s="358"/>
    </row>
    <row r="24" spans="1:15" ht="15.05" customHeight="1">
      <c r="A24" s="264" t="s">
        <v>296</v>
      </c>
      <c r="B24" s="36"/>
      <c r="C24" s="37" t="s">
        <v>297</v>
      </c>
      <c r="D24" s="38">
        <v>0</v>
      </c>
      <c r="E24" s="263">
        <v>0</v>
      </c>
      <c r="F24" s="309">
        <f t="shared" ref="F24:F36" si="3">SUM(G24:M24)</f>
        <v>0</v>
      </c>
      <c r="G24" s="310">
        <v>0</v>
      </c>
      <c r="H24" s="310">
        <v>0</v>
      </c>
      <c r="I24" s="310">
        <v>0</v>
      </c>
      <c r="J24" s="310">
        <v>0</v>
      </c>
      <c r="K24" s="310">
        <v>0</v>
      </c>
      <c r="L24" s="310">
        <v>0</v>
      </c>
      <c r="M24" s="311">
        <v>0</v>
      </c>
      <c r="N24" s="325"/>
      <c r="O24" s="381"/>
    </row>
    <row r="25" spans="1:15">
      <c r="A25" s="264" t="s">
        <v>298</v>
      </c>
      <c r="B25" s="36"/>
      <c r="C25" s="44" t="s">
        <v>299</v>
      </c>
      <c r="D25" s="45"/>
      <c r="E25" s="263">
        <v>0</v>
      </c>
      <c r="F25" s="309">
        <f t="shared" si="3"/>
        <v>0</v>
      </c>
      <c r="G25" s="310">
        <v>0</v>
      </c>
      <c r="H25" s="310">
        <v>0</v>
      </c>
      <c r="I25" s="310">
        <v>0</v>
      </c>
      <c r="J25" s="310">
        <v>0</v>
      </c>
      <c r="K25" s="310">
        <v>0</v>
      </c>
      <c r="L25" s="310">
        <v>0</v>
      </c>
      <c r="M25" s="311">
        <v>0</v>
      </c>
      <c r="N25" s="355"/>
      <c r="O25" s="381"/>
    </row>
    <row r="26" spans="1:15">
      <c r="A26" s="264" t="s">
        <v>300</v>
      </c>
      <c r="B26" s="36"/>
      <c r="C26" s="44" t="s">
        <v>301</v>
      </c>
      <c r="D26" s="45"/>
      <c r="E26" s="263">
        <v>0</v>
      </c>
      <c r="F26" s="309">
        <f t="shared" si="3"/>
        <v>0</v>
      </c>
      <c r="G26" s="310">
        <v>0</v>
      </c>
      <c r="H26" s="310">
        <v>0</v>
      </c>
      <c r="I26" s="310">
        <v>0</v>
      </c>
      <c r="J26" s="310">
        <v>0</v>
      </c>
      <c r="K26" s="310">
        <v>0</v>
      </c>
      <c r="L26" s="310">
        <v>0</v>
      </c>
      <c r="M26" s="311">
        <v>0</v>
      </c>
      <c r="N26" s="355"/>
      <c r="O26" s="381"/>
    </row>
    <row r="27" spans="1:15">
      <c r="A27" s="264" t="s">
        <v>302</v>
      </c>
      <c r="B27" s="36"/>
      <c r="C27" s="44" t="s">
        <v>303</v>
      </c>
      <c r="D27" s="45"/>
      <c r="E27" s="263">
        <v>0</v>
      </c>
      <c r="F27" s="309">
        <f t="shared" si="3"/>
        <v>0</v>
      </c>
      <c r="G27" s="310">
        <v>0</v>
      </c>
      <c r="H27" s="310">
        <v>0</v>
      </c>
      <c r="I27" s="310">
        <v>0</v>
      </c>
      <c r="J27" s="310">
        <v>0</v>
      </c>
      <c r="K27" s="310">
        <v>0</v>
      </c>
      <c r="L27" s="310">
        <v>0</v>
      </c>
      <c r="M27" s="311">
        <v>0</v>
      </c>
      <c r="N27" s="355"/>
      <c r="O27" s="381"/>
    </row>
    <row r="28" spans="1:15">
      <c r="A28" s="264" t="s">
        <v>304</v>
      </c>
      <c r="B28" s="36"/>
      <c r="C28" s="44">
        <v>251</v>
      </c>
      <c r="D28" s="45"/>
      <c r="E28" s="263">
        <v>0</v>
      </c>
      <c r="F28" s="309">
        <f t="shared" si="3"/>
        <v>0</v>
      </c>
      <c r="G28" s="310">
        <v>0</v>
      </c>
      <c r="H28" s="310">
        <v>0</v>
      </c>
      <c r="I28" s="310">
        <v>0</v>
      </c>
      <c r="J28" s="310">
        <v>0</v>
      </c>
      <c r="K28" s="310">
        <v>0</v>
      </c>
      <c r="L28" s="310">
        <v>0</v>
      </c>
      <c r="M28" s="311">
        <v>0</v>
      </c>
      <c r="N28" s="325"/>
      <c r="O28" s="381"/>
    </row>
    <row r="29" spans="1:15" s="151" customFormat="1" ht="29.7">
      <c r="A29" s="264" t="s">
        <v>428</v>
      </c>
      <c r="B29" s="36"/>
      <c r="C29" s="44">
        <v>251</v>
      </c>
      <c r="D29" s="45"/>
      <c r="E29" s="263">
        <v>52</v>
      </c>
      <c r="F29" s="309">
        <f t="shared" si="3"/>
        <v>53</v>
      </c>
      <c r="G29" s="310"/>
      <c r="H29" s="310">
        <v>53</v>
      </c>
      <c r="I29" s="310"/>
      <c r="J29" s="310">
        <v>0</v>
      </c>
      <c r="K29" s="310">
        <v>0</v>
      </c>
      <c r="L29" s="310">
        <v>0</v>
      </c>
      <c r="M29" s="311">
        <v>0</v>
      </c>
      <c r="N29" s="93" t="s">
        <v>1278</v>
      </c>
      <c r="O29" s="381"/>
    </row>
    <row r="30" spans="1:15">
      <c r="A30" s="264" t="s">
        <v>313</v>
      </c>
      <c r="B30" s="36"/>
      <c r="C30" s="44">
        <v>252</v>
      </c>
      <c r="D30" s="45"/>
      <c r="E30" s="263">
        <v>0</v>
      </c>
      <c r="F30" s="309">
        <f t="shared" si="3"/>
        <v>0</v>
      </c>
      <c r="G30" s="310">
        <v>0</v>
      </c>
      <c r="H30" s="310">
        <v>0</v>
      </c>
      <c r="I30" s="310">
        <v>0</v>
      </c>
      <c r="J30" s="310">
        <v>0</v>
      </c>
      <c r="K30" s="310">
        <v>0</v>
      </c>
      <c r="L30" s="310">
        <v>0</v>
      </c>
      <c r="M30" s="311">
        <v>0</v>
      </c>
      <c r="N30" s="355"/>
      <c r="O30" s="381"/>
    </row>
    <row r="31" spans="1:15">
      <c r="A31" s="264" t="s">
        <v>314</v>
      </c>
      <c r="B31" s="36"/>
      <c r="C31" s="44">
        <v>252</v>
      </c>
      <c r="D31" s="45"/>
      <c r="E31" s="263">
        <v>0</v>
      </c>
      <c r="F31" s="309">
        <f t="shared" si="3"/>
        <v>0</v>
      </c>
      <c r="G31" s="310">
        <v>0</v>
      </c>
      <c r="H31" s="310">
        <v>0</v>
      </c>
      <c r="I31" s="310">
        <v>0</v>
      </c>
      <c r="J31" s="310">
        <v>0</v>
      </c>
      <c r="K31" s="310">
        <v>0</v>
      </c>
      <c r="L31" s="310">
        <v>0</v>
      </c>
      <c r="M31" s="311">
        <v>0</v>
      </c>
      <c r="N31" s="355"/>
      <c r="O31" s="381"/>
    </row>
    <row r="32" spans="1:15">
      <c r="A32" s="264" t="s">
        <v>315</v>
      </c>
      <c r="B32" s="36"/>
      <c r="C32" s="44">
        <v>253</v>
      </c>
      <c r="D32" s="264"/>
      <c r="E32" s="263">
        <v>0</v>
      </c>
      <c r="F32" s="309">
        <f t="shared" si="3"/>
        <v>0</v>
      </c>
      <c r="G32" s="310">
        <v>0</v>
      </c>
      <c r="H32" s="310">
        <v>0</v>
      </c>
      <c r="I32" s="310">
        <v>0</v>
      </c>
      <c r="J32" s="310">
        <v>0</v>
      </c>
      <c r="K32" s="310">
        <v>0</v>
      </c>
      <c r="L32" s="310">
        <v>0</v>
      </c>
      <c r="M32" s="311">
        <v>0</v>
      </c>
      <c r="N32" s="355"/>
      <c r="O32" s="381"/>
    </row>
    <row r="33" spans="1:14">
      <c r="A33" s="264" t="s">
        <v>316</v>
      </c>
      <c r="B33" s="36"/>
      <c r="C33" s="44">
        <v>255</v>
      </c>
      <c r="D33" s="264"/>
      <c r="E33" s="263">
        <v>0</v>
      </c>
      <c r="F33" s="309">
        <f t="shared" si="3"/>
        <v>0</v>
      </c>
      <c r="G33" s="310">
        <v>0</v>
      </c>
      <c r="H33" s="310">
        <v>0</v>
      </c>
      <c r="I33" s="310">
        <v>0</v>
      </c>
      <c r="J33" s="310">
        <v>0</v>
      </c>
      <c r="K33" s="310">
        <v>0</v>
      </c>
      <c r="L33" s="310">
        <v>0</v>
      </c>
      <c r="M33" s="311">
        <v>0</v>
      </c>
      <c r="N33" s="355"/>
    </row>
    <row r="34" spans="1:14">
      <c r="A34" s="264" t="s">
        <v>317</v>
      </c>
      <c r="B34" s="36"/>
      <c r="C34" s="44">
        <v>256</v>
      </c>
      <c r="D34" s="264"/>
      <c r="E34" s="263">
        <v>0</v>
      </c>
      <c r="F34" s="309">
        <f t="shared" si="3"/>
        <v>0</v>
      </c>
      <c r="G34" s="310">
        <v>0</v>
      </c>
      <c r="H34" s="310">
        <v>0</v>
      </c>
      <c r="I34" s="310">
        <v>0</v>
      </c>
      <c r="J34" s="310">
        <v>0</v>
      </c>
      <c r="K34" s="310">
        <v>0</v>
      </c>
      <c r="L34" s="310">
        <v>0</v>
      </c>
      <c r="M34" s="311">
        <v>0</v>
      </c>
      <c r="N34" s="355"/>
    </row>
    <row r="35" spans="1:14">
      <c r="A35" s="264" t="s">
        <v>318</v>
      </c>
      <c r="B35" s="36"/>
      <c r="C35" s="44">
        <v>257</v>
      </c>
      <c r="D35" s="264"/>
      <c r="E35" s="263">
        <v>0</v>
      </c>
      <c r="F35" s="309">
        <f t="shared" si="3"/>
        <v>0</v>
      </c>
      <c r="G35" s="310">
        <v>0</v>
      </c>
      <c r="H35" s="310">
        <v>0</v>
      </c>
      <c r="I35" s="310">
        <v>0</v>
      </c>
      <c r="J35" s="310">
        <v>0</v>
      </c>
      <c r="K35" s="310">
        <v>0</v>
      </c>
      <c r="L35" s="310">
        <v>0</v>
      </c>
      <c r="M35" s="311">
        <v>0</v>
      </c>
      <c r="N35" s="160"/>
    </row>
    <row r="36" spans="1:14">
      <c r="A36" s="264" t="s">
        <v>319</v>
      </c>
      <c r="B36" s="36"/>
      <c r="C36" s="44" t="s">
        <v>320</v>
      </c>
      <c r="D36" s="264"/>
      <c r="E36" s="263">
        <v>0</v>
      </c>
      <c r="F36" s="309">
        <f t="shared" si="3"/>
        <v>0</v>
      </c>
      <c r="G36" s="310">
        <v>0</v>
      </c>
      <c r="H36" s="310">
        <v>0</v>
      </c>
      <c r="I36" s="310">
        <v>0</v>
      </c>
      <c r="J36" s="310">
        <v>0</v>
      </c>
      <c r="K36" s="310">
        <v>0</v>
      </c>
      <c r="L36" s="310">
        <v>0</v>
      </c>
      <c r="M36" s="311">
        <v>0</v>
      </c>
      <c r="N36" s="355"/>
    </row>
    <row r="37" spans="1:14" s="381" customFormat="1">
      <c r="A37" s="265" t="s">
        <v>321</v>
      </c>
      <c r="B37" s="36"/>
      <c r="C37" s="266" t="s">
        <v>322</v>
      </c>
      <c r="D37" s="246"/>
      <c r="E37" s="263">
        <v>0</v>
      </c>
      <c r="F37" s="309">
        <f>SUM(G37:M37)</f>
        <v>0</v>
      </c>
      <c r="G37" s="310">
        <v>0</v>
      </c>
      <c r="H37" s="310">
        <v>0</v>
      </c>
      <c r="I37" s="310">
        <v>0</v>
      </c>
      <c r="J37" s="310">
        <v>0</v>
      </c>
      <c r="K37" s="310">
        <v>0</v>
      </c>
      <c r="L37" s="310">
        <v>0</v>
      </c>
      <c r="M37" s="311">
        <v>0</v>
      </c>
      <c r="N37" s="355"/>
    </row>
    <row r="38" spans="1:14">
      <c r="A38" s="265" t="s">
        <v>323</v>
      </c>
      <c r="B38" s="390"/>
      <c r="C38" s="266" t="s">
        <v>324</v>
      </c>
      <c r="D38" s="265"/>
      <c r="E38" s="318">
        <v>0</v>
      </c>
      <c r="F38" s="309">
        <f>SUM(G38:M38)</f>
        <v>0</v>
      </c>
      <c r="G38" s="165">
        <v>0</v>
      </c>
      <c r="H38" s="165">
        <v>0</v>
      </c>
      <c r="I38" s="165">
        <v>0</v>
      </c>
      <c r="J38" s="165">
        <v>0</v>
      </c>
      <c r="K38" s="165">
        <v>0</v>
      </c>
      <c r="L38" s="165">
        <v>0</v>
      </c>
      <c r="M38" s="166">
        <v>0</v>
      </c>
      <c r="N38" s="325"/>
    </row>
    <row r="39" spans="1:14">
      <c r="A39" s="40" t="s">
        <v>326</v>
      </c>
      <c r="B39" s="265"/>
      <c r="C39" s="266"/>
      <c r="D39" s="247"/>
      <c r="E39" s="242">
        <f t="shared" ref="E39:M39" si="4">SUM(E24:E38)</f>
        <v>52</v>
      </c>
      <c r="F39" s="243">
        <f t="shared" si="4"/>
        <v>53</v>
      </c>
      <c r="G39" s="243">
        <f t="shared" si="4"/>
        <v>0</v>
      </c>
      <c r="H39" s="243">
        <f t="shared" si="4"/>
        <v>53</v>
      </c>
      <c r="I39" s="243">
        <f t="shared" si="4"/>
        <v>0</v>
      </c>
      <c r="J39" s="243">
        <f t="shared" si="4"/>
        <v>0</v>
      </c>
      <c r="K39" s="243">
        <f t="shared" si="4"/>
        <v>0</v>
      </c>
      <c r="L39" s="243">
        <f t="shared" si="4"/>
        <v>0</v>
      </c>
      <c r="M39" s="243">
        <f t="shared" si="4"/>
        <v>0</v>
      </c>
      <c r="N39" s="355"/>
    </row>
    <row r="40" spans="1:14" s="151" customFormat="1">
      <c r="A40" s="40" t="s">
        <v>327</v>
      </c>
      <c r="B40" s="51"/>
      <c r="C40" s="149"/>
      <c r="D40" s="247"/>
      <c r="E40" s="244"/>
      <c r="F40" s="245">
        <f>SUM(G40:L40)</f>
        <v>0</v>
      </c>
      <c r="G40" s="245">
        <v>0</v>
      </c>
      <c r="H40" s="245">
        <v>0</v>
      </c>
      <c r="I40" s="245">
        <v>0</v>
      </c>
      <c r="J40" s="245">
        <v>0</v>
      </c>
      <c r="K40" s="245">
        <v>0</v>
      </c>
      <c r="L40" s="245">
        <v>0</v>
      </c>
      <c r="M40" s="245">
        <v>0</v>
      </c>
      <c r="N40" s="325"/>
    </row>
    <row r="41" spans="1:14">
      <c r="A41" s="40" t="s">
        <v>328</v>
      </c>
      <c r="B41" s="46"/>
      <c r="C41" s="47"/>
      <c r="D41" s="48">
        <f>D39+D22+D16</f>
        <v>0</v>
      </c>
      <c r="E41" s="242">
        <f>E39+E22+E16-E40</f>
        <v>52</v>
      </c>
      <c r="F41" s="17">
        <f t="shared" ref="F41:M41" si="5">F39+F22+F16-F40</f>
        <v>53</v>
      </c>
      <c r="G41" s="17">
        <f t="shared" si="5"/>
        <v>0</v>
      </c>
      <c r="H41" s="17">
        <f t="shared" si="5"/>
        <v>53</v>
      </c>
      <c r="I41" s="17">
        <f t="shared" si="5"/>
        <v>0</v>
      </c>
      <c r="J41" s="17">
        <f t="shared" si="5"/>
        <v>0</v>
      </c>
      <c r="K41" s="17">
        <f t="shared" si="5"/>
        <v>0</v>
      </c>
      <c r="L41" s="17">
        <f t="shared" si="5"/>
        <v>0</v>
      </c>
      <c r="M41" s="17">
        <f t="shared" si="5"/>
        <v>0</v>
      </c>
      <c r="N41" s="353"/>
    </row>
    <row r="44" spans="1:14" s="381" customFormat="1" ht="15.6" thickBot="1">
      <c r="A44" s="603"/>
      <c r="B44" s="603"/>
      <c r="C44" s="604"/>
      <c r="D44" s="603"/>
      <c r="E44" s="603"/>
      <c r="F44" s="603"/>
      <c r="G44" s="603"/>
      <c r="H44" s="603"/>
      <c r="I44" s="603"/>
      <c r="J44" s="603"/>
      <c r="K44" s="603"/>
      <c r="L44" s="603"/>
      <c r="M44" s="603"/>
      <c r="N44" s="605"/>
    </row>
    <row r="45" spans="1:14" s="381" customFormat="1" ht="15.6">
      <c r="A45" s="855" t="s">
        <v>330</v>
      </c>
      <c r="B45" s="856"/>
      <c r="C45" s="856"/>
      <c r="D45" s="856"/>
      <c r="E45" s="856"/>
      <c r="F45" s="856"/>
      <c r="G45" s="606"/>
      <c r="H45" s="603"/>
      <c r="I45" s="603"/>
      <c r="J45" s="603"/>
      <c r="K45" s="603"/>
      <c r="L45" s="603"/>
      <c r="M45" s="603"/>
      <c r="N45" s="605"/>
    </row>
    <row r="46" spans="1:14" s="381" customFormat="1" ht="15.6">
      <c r="A46" s="857"/>
      <c r="B46" s="858"/>
      <c r="C46" s="858"/>
      <c r="D46" s="858"/>
      <c r="E46" s="858"/>
      <c r="F46" s="858"/>
      <c r="G46" s="607"/>
      <c r="H46" s="603"/>
      <c r="I46" s="603"/>
      <c r="J46" s="603"/>
      <c r="K46" s="603"/>
      <c r="L46" s="603"/>
      <c r="M46" s="603"/>
      <c r="N46" s="605"/>
    </row>
    <row r="47" spans="1:14" s="381" customFormat="1">
      <c r="A47" s="859" t="s">
        <v>331</v>
      </c>
      <c r="B47" s="860"/>
      <c r="C47" s="608"/>
      <c r="D47" s="608"/>
      <c r="E47" s="608"/>
      <c r="F47" s="608"/>
      <c r="G47" s="607"/>
      <c r="H47" s="603"/>
      <c r="I47" s="603"/>
      <c r="J47" s="603"/>
      <c r="K47" s="603"/>
      <c r="L47" s="603"/>
      <c r="M47" s="603"/>
      <c r="N47" s="605"/>
    </row>
    <row r="48" spans="1:14" s="381" customFormat="1">
      <c r="A48" s="609" t="s">
        <v>480</v>
      </c>
      <c r="B48" s="610">
        <f>E41</f>
        <v>52</v>
      </c>
      <c r="C48" s="611"/>
      <c r="D48" s="612"/>
      <c r="E48" s="612"/>
      <c r="F48" s="612"/>
      <c r="G48" s="607"/>
      <c r="H48" s="603"/>
      <c r="I48" s="603"/>
      <c r="J48" s="603"/>
      <c r="K48" s="603"/>
      <c r="L48" s="603"/>
      <c r="M48" s="603"/>
      <c r="N48" s="605"/>
    </row>
    <row r="49" spans="1:14" s="381" customFormat="1">
      <c r="A49" s="613" t="s">
        <v>481</v>
      </c>
      <c r="B49" s="614">
        <f>F41</f>
        <v>53</v>
      </c>
      <c r="C49" s="611"/>
      <c r="D49" s="612"/>
      <c r="E49" s="612"/>
      <c r="F49" s="612"/>
      <c r="G49" s="607"/>
      <c r="H49" s="603"/>
      <c r="I49" s="603"/>
      <c r="J49" s="603"/>
      <c r="K49" s="603"/>
      <c r="L49" s="603"/>
      <c r="M49" s="603"/>
      <c r="N49" s="605"/>
    </row>
    <row r="50" spans="1:14" s="381" customFormat="1">
      <c r="A50" s="615" t="s">
        <v>334</v>
      </c>
      <c r="B50" s="616">
        <f>B49-B48</f>
        <v>1</v>
      </c>
      <c r="C50" s="611"/>
      <c r="D50" s="612"/>
      <c r="E50" s="612"/>
      <c r="F50" s="612"/>
      <c r="G50" s="607"/>
      <c r="H50" s="603"/>
      <c r="I50" s="603"/>
      <c r="J50" s="603"/>
      <c r="K50" s="603"/>
      <c r="L50" s="603"/>
      <c r="M50" s="603"/>
      <c r="N50" s="605"/>
    </row>
    <row r="51" spans="1:14" s="381" customFormat="1">
      <c r="A51" s="615" t="s">
        <v>335</v>
      </c>
      <c r="B51" s="617">
        <f>B50/B48</f>
        <v>1.9230769230769232E-2</v>
      </c>
      <c r="C51" s="611"/>
      <c r="D51" s="612"/>
      <c r="E51" s="612"/>
      <c r="F51" s="612"/>
      <c r="G51" s="607"/>
      <c r="H51" s="603"/>
      <c r="I51" s="603"/>
      <c r="J51" s="603"/>
      <c r="K51" s="603"/>
      <c r="L51" s="603"/>
      <c r="M51" s="603"/>
      <c r="N51" s="605"/>
    </row>
    <row r="52" spans="1:14" s="381" customFormat="1">
      <c r="A52" s="618"/>
      <c r="B52" s="612"/>
      <c r="C52" s="619"/>
      <c r="D52" s="612"/>
      <c r="E52" s="612"/>
      <c r="F52" s="612"/>
      <c r="G52" s="607"/>
      <c r="H52" s="603"/>
      <c r="I52" s="603"/>
      <c r="J52" s="603"/>
      <c r="K52" s="603"/>
      <c r="L52" s="603"/>
      <c r="M52" s="603"/>
      <c r="N52" s="605"/>
    </row>
    <row r="53" spans="1:14" s="381" customFormat="1">
      <c r="A53" s="842" t="s">
        <v>336</v>
      </c>
      <c r="B53" s="843"/>
      <c r="C53" s="843"/>
      <c r="D53" s="843"/>
      <c r="E53" s="843"/>
      <c r="F53" s="843"/>
      <c r="G53" s="607"/>
      <c r="H53" s="603"/>
      <c r="I53" s="603"/>
      <c r="J53" s="603"/>
      <c r="K53" s="603"/>
      <c r="L53" s="603"/>
      <c r="M53" s="603"/>
      <c r="N53" s="605"/>
    </row>
    <row r="54" spans="1:14" s="381" customFormat="1" ht="31.2" customHeight="1">
      <c r="A54" s="848" t="s">
        <v>1279</v>
      </c>
      <c r="B54" s="849"/>
      <c r="C54" s="849"/>
      <c r="D54" s="849"/>
      <c r="E54" s="849"/>
      <c r="F54" s="850"/>
      <c r="G54" s="607"/>
      <c r="H54" s="603"/>
      <c r="I54" s="603"/>
      <c r="J54" s="603"/>
      <c r="K54" s="603"/>
      <c r="L54" s="603"/>
      <c r="M54" s="603"/>
      <c r="N54" s="605"/>
    </row>
    <row r="55" spans="1:14" s="381" customFormat="1">
      <c r="A55" s="620"/>
      <c r="B55" s="621"/>
      <c r="C55" s="621"/>
      <c r="D55" s="621"/>
      <c r="E55" s="621"/>
      <c r="F55" s="621"/>
      <c r="G55" s="607"/>
      <c r="H55" s="603"/>
      <c r="I55" s="603"/>
      <c r="J55" s="603"/>
      <c r="K55" s="603"/>
      <c r="L55" s="603"/>
      <c r="M55" s="603"/>
      <c r="N55" s="605"/>
    </row>
    <row r="56" spans="1:14" s="381" customFormat="1">
      <c r="A56" s="622" t="s">
        <v>337</v>
      </c>
      <c r="B56" s="612"/>
      <c r="C56" s="619"/>
      <c r="D56" s="612"/>
      <c r="E56" s="612"/>
      <c r="F56" s="612"/>
      <c r="G56" s="607"/>
      <c r="H56" s="603"/>
      <c r="I56" s="603"/>
      <c r="J56" s="603"/>
      <c r="K56" s="603"/>
      <c r="L56" s="603"/>
      <c r="M56" s="603"/>
      <c r="N56" s="605"/>
    </row>
    <row r="57" spans="1:14" s="381" customFormat="1" ht="28.95" customHeight="1">
      <c r="A57" s="848" t="s">
        <v>1280</v>
      </c>
      <c r="B57" s="849"/>
      <c r="C57" s="849"/>
      <c r="D57" s="849"/>
      <c r="E57" s="849"/>
      <c r="F57" s="850"/>
      <c r="G57" s="607"/>
      <c r="H57" s="603"/>
      <c r="I57" s="603"/>
      <c r="J57" s="603"/>
      <c r="K57" s="603"/>
      <c r="L57" s="603"/>
      <c r="M57" s="603"/>
      <c r="N57" s="605"/>
    </row>
    <row r="58" spans="1:14" s="381" customFormat="1">
      <c r="A58" s="618"/>
      <c r="B58" s="612"/>
      <c r="C58" s="619"/>
      <c r="D58" s="612"/>
      <c r="E58" s="612"/>
      <c r="F58" s="612"/>
      <c r="G58" s="607"/>
      <c r="H58" s="603"/>
      <c r="I58" s="603"/>
      <c r="J58" s="603"/>
      <c r="K58" s="603"/>
      <c r="L58" s="603"/>
      <c r="M58" s="603"/>
      <c r="N58" s="605"/>
    </row>
    <row r="59" spans="1:14" s="381" customFormat="1">
      <c r="A59" s="851" t="s">
        <v>365</v>
      </c>
      <c r="B59" s="852"/>
      <c r="C59" s="852"/>
      <c r="D59" s="852"/>
      <c r="E59" s="852"/>
      <c r="F59" s="852"/>
      <c r="G59" s="607"/>
      <c r="H59" s="603"/>
      <c r="I59" s="603"/>
      <c r="J59" s="603"/>
      <c r="K59" s="603"/>
      <c r="L59" s="603"/>
      <c r="M59" s="603"/>
      <c r="N59" s="605"/>
    </row>
    <row r="60" spans="1:14" s="381" customFormat="1">
      <c r="A60" s="853" t="s">
        <v>339</v>
      </c>
      <c r="B60" s="854"/>
      <c r="C60" s="854"/>
      <c r="D60" s="854"/>
      <c r="E60" s="854"/>
      <c r="F60" s="854"/>
      <c r="G60" s="607"/>
      <c r="H60" s="603"/>
      <c r="I60" s="603"/>
      <c r="J60" s="603"/>
      <c r="K60" s="603"/>
      <c r="L60" s="603"/>
      <c r="M60" s="603"/>
      <c r="N60" s="605"/>
    </row>
    <row r="61" spans="1:14" s="381" customFormat="1" ht="44.75" customHeight="1">
      <c r="A61" s="839" t="s">
        <v>1281</v>
      </c>
      <c r="B61" s="840"/>
      <c r="C61" s="840"/>
      <c r="D61" s="840"/>
      <c r="E61" s="840"/>
      <c r="F61" s="841"/>
      <c r="G61" s="607"/>
      <c r="H61" s="603"/>
      <c r="I61" s="603"/>
      <c r="J61" s="603"/>
      <c r="K61" s="603"/>
      <c r="L61" s="603"/>
      <c r="M61" s="603"/>
      <c r="N61" s="605"/>
    </row>
    <row r="62" spans="1:14" s="381" customFormat="1">
      <c r="A62" s="622"/>
      <c r="B62" s="612"/>
      <c r="C62" s="619"/>
      <c r="D62" s="612"/>
      <c r="E62" s="612"/>
      <c r="F62" s="612"/>
      <c r="G62" s="607"/>
      <c r="H62" s="603"/>
      <c r="I62" s="603"/>
      <c r="J62" s="603"/>
      <c r="K62" s="603"/>
      <c r="L62" s="603"/>
      <c r="M62" s="603"/>
      <c r="N62" s="605"/>
    </row>
    <row r="63" spans="1:14" s="381" customFormat="1">
      <c r="A63" s="842" t="s">
        <v>340</v>
      </c>
      <c r="B63" s="843"/>
      <c r="C63" s="843"/>
      <c r="D63" s="843"/>
      <c r="E63" s="843"/>
      <c r="F63" s="612"/>
      <c r="G63" s="607"/>
      <c r="H63" s="603"/>
      <c r="I63" s="603"/>
      <c r="J63" s="603"/>
      <c r="K63" s="603"/>
      <c r="L63" s="603"/>
      <c r="M63" s="603"/>
      <c r="N63" s="605"/>
    </row>
    <row r="64" spans="1:14" s="381" customFormat="1">
      <c r="A64" s="839" t="s">
        <v>1282</v>
      </c>
      <c r="B64" s="840"/>
      <c r="C64" s="840"/>
      <c r="D64" s="840"/>
      <c r="E64" s="840"/>
      <c r="F64" s="841"/>
      <c r="G64" s="607"/>
      <c r="H64" s="603"/>
      <c r="I64" s="603"/>
      <c r="J64" s="603"/>
      <c r="K64" s="603"/>
      <c r="L64" s="603"/>
      <c r="M64" s="603"/>
      <c r="N64" s="605"/>
    </row>
    <row r="65" spans="1:14" s="381" customFormat="1">
      <c r="A65" s="618"/>
      <c r="B65" s="612"/>
      <c r="C65" s="619"/>
      <c r="D65" s="612"/>
      <c r="E65" s="612"/>
      <c r="F65" s="612"/>
      <c r="G65" s="607"/>
      <c r="H65" s="603"/>
      <c r="I65" s="603"/>
      <c r="J65" s="603"/>
      <c r="K65" s="603"/>
      <c r="L65" s="603"/>
      <c r="M65" s="603"/>
      <c r="N65" s="605"/>
    </row>
    <row r="66" spans="1:14" s="381" customFormat="1">
      <c r="A66" s="622" t="s">
        <v>953</v>
      </c>
      <c r="B66" s="612"/>
      <c r="C66" s="619"/>
      <c r="D66" s="612"/>
      <c r="E66" s="612"/>
      <c r="F66" s="612"/>
      <c r="G66" s="607"/>
      <c r="H66" s="603"/>
      <c r="I66" s="603"/>
      <c r="J66" s="603"/>
      <c r="K66" s="603"/>
      <c r="L66" s="603"/>
      <c r="M66" s="603"/>
      <c r="N66" s="605"/>
    </row>
    <row r="67" spans="1:14" s="381" customFormat="1">
      <c r="A67" s="623" t="s">
        <v>342</v>
      </c>
      <c r="B67" s="612"/>
      <c r="C67" s="619"/>
      <c r="D67" s="612"/>
      <c r="E67" s="612"/>
      <c r="F67" s="612"/>
      <c r="G67" s="607"/>
      <c r="H67" s="603"/>
      <c r="I67" s="603"/>
      <c r="J67" s="603"/>
      <c r="K67" s="603"/>
      <c r="L67" s="603"/>
      <c r="M67" s="603"/>
      <c r="N67" s="605"/>
    </row>
    <row r="68" spans="1:14" s="381" customFormat="1" ht="11.9" customHeight="1">
      <c r="A68" s="844"/>
      <c r="B68" s="845"/>
      <c r="C68" s="845"/>
      <c r="D68" s="845"/>
      <c r="E68" s="845"/>
      <c r="F68" s="845"/>
      <c r="G68" s="607"/>
      <c r="H68" s="603"/>
      <c r="I68" s="603"/>
      <c r="J68" s="603"/>
      <c r="K68" s="603"/>
      <c r="L68" s="603"/>
      <c r="M68" s="603"/>
      <c r="N68" s="605"/>
    </row>
    <row r="69" spans="1:14" s="381" customFormat="1" ht="41.2" customHeight="1">
      <c r="A69" s="839" t="s">
        <v>1283</v>
      </c>
      <c r="B69" s="840"/>
      <c r="C69" s="840"/>
      <c r="D69" s="840"/>
      <c r="E69" s="840"/>
      <c r="F69" s="841"/>
      <c r="G69" s="607"/>
      <c r="H69" s="603"/>
      <c r="I69" s="603"/>
      <c r="J69" s="603"/>
      <c r="K69" s="603"/>
      <c r="L69" s="603"/>
      <c r="M69" s="603"/>
      <c r="N69" s="605"/>
    </row>
    <row r="70" spans="1:14" s="381" customFormat="1">
      <c r="A70" s="846"/>
      <c r="B70" s="847"/>
      <c r="C70" s="847"/>
      <c r="D70" s="847"/>
      <c r="E70" s="847"/>
      <c r="F70" s="847"/>
      <c r="G70" s="607"/>
      <c r="H70" s="603"/>
      <c r="I70" s="603"/>
      <c r="J70" s="603"/>
      <c r="K70" s="603"/>
      <c r="L70" s="603"/>
      <c r="M70" s="603"/>
      <c r="N70" s="605"/>
    </row>
    <row r="71" spans="1:14" s="381" customFormat="1">
      <c r="A71" s="623" t="s">
        <v>344</v>
      </c>
      <c r="B71" s="612"/>
      <c r="C71" s="619"/>
      <c r="D71" s="612"/>
      <c r="E71" s="612"/>
      <c r="F71" s="612"/>
      <c r="G71" s="607"/>
      <c r="H71" s="603"/>
      <c r="I71" s="603"/>
      <c r="J71" s="603"/>
      <c r="K71" s="603"/>
      <c r="L71" s="603"/>
      <c r="M71" s="603"/>
      <c r="N71" s="605"/>
    </row>
    <row r="72" spans="1:14" s="381" customFormat="1" ht="23.95" customHeight="1">
      <c r="A72" s="837" t="s">
        <v>345</v>
      </c>
      <c r="B72" s="838"/>
      <c r="C72" s="838"/>
      <c r="D72" s="838"/>
      <c r="E72" s="838"/>
      <c r="F72" s="838"/>
      <c r="G72" s="607"/>
      <c r="H72" s="603"/>
      <c r="I72" s="603"/>
      <c r="J72" s="603"/>
      <c r="K72" s="603"/>
      <c r="L72" s="603"/>
      <c r="M72" s="603"/>
      <c r="N72" s="605"/>
    </row>
    <row r="73" spans="1:14" s="381" customFormat="1">
      <c r="A73" s="839" t="s">
        <v>679</v>
      </c>
      <c r="B73" s="840"/>
      <c r="C73" s="840"/>
      <c r="D73" s="840"/>
      <c r="E73" s="840"/>
      <c r="F73" s="841"/>
      <c r="G73" s="607"/>
      <c r="H73" s="603"/>
      <c r="I73" s="603"/>
      <c r="J73" s="603"/>
      <c r="K73" s="603"/>
      <c r="L73" s="603"/>
      <c r="M73" s="603"/>
      <c r="N73" s="605"/>
    </row>
    <row r="74" spans="1:14" s="381" customFormat="1" ht="15.6" thickBot="1">
      <c r="A74" s="624"/>
      <c r="B74" s="625"/>
      <c r="C74" s="626"/>
      <c r="D74" s="625"/>
      <c r="E74" s="625"/>
      <c r="F74" s="625"/>
      <c r="G74" s="627"/>
      <c r="H74" s="603"/>
      <c r="I74" s="603"/>
      <c r="J74" s="603"/>
      <c r="K74" s="603"/>
      <c r="L74" s="603"/>
      <c r="M74" s="603"/>
      <c r="N74" s="605"/>
    </row>
    <row r="75" spans="1:14" s="381" customFormat="1">
      <c r="A75" s="603"/>
      <c r="B75" s="603"/>
      <c r="C75" s="604"/>
      <c r="D75" s="603"/>
      <c r="E75" s="603"/>
      <c r="F75" s="603"/>
      <c r="G75" s="603"/>
      <c r="H75" s="603"/>
      <c r="I75" s="603"/>
      <c r="J75" s="603"/>
      <c r="K75" s="603"/>
      <c r="L75" s="603"/>
      <c r="M75" s="603"/>
      <c r="N75" s="605"/>
    </row>
  </sheetData>
  <mergeCells count="17">
    <mergeCell ref="A1:N1"/>
    <mergeCell ref="A45:F45"/>
    <mergeCell ref="A46:F46"/>
    <mergeCell ref="A47:B47"/>
    <mergeCell ref="A53:F53"/>
    <mergeCell ref="A54:F54"/>
    <mergeCell ref="A57:F57"/>
    <mergeCell ref="A59:F59"/>
    <mergeCell ref="A60:F60"/>
    <mergeCell ref="A61:F61"/>
    <mergeCell ref="A72:F72"/>
    <mergeCell ref="A73:F73"/>
    <mergeCell ref="A63:E63"/>
    <mergeCell ref="A64:F64"/>
    <mergeCell ref="A68:F68"/>
    <mergeCell ref="A69:F69"/>
    <mergeCell ref="A70:F70"/>
  </mergeCells>
  <printOptions horizontalCentered="1"/>
  <pageMargins left="0.2" right="0.2" top="0.75" bottom="0.75" header="0.3" footer="0.3"/>
  <pageSetup scale="72" orientation="landscape" r:id="rId1"/>
  <headerFooter>
    <oddHeader xml:space="preserve">&amp;CDRAFT NOT FOR DISTRIBUTION, INTERNAL USE ONLY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2" tint="-0.249977111117893"/>
    <pageSetUpPr fitToPage="1"/>
  </sheetPr>
  <dimension ref="A1:N77"/>
  <sheetViews>
    <sheetView workbookViewId="0">
      <selection sqref="A1:N1"/>
    </sheetView>
  </sheetViews>
  <sheetFormatPr defaultColWidth="9.140625" defaultRowHeight="14.85"/>
  <cols>
    <col min="1" max="1" width="39.5703125" style="381" customWidth="1"/>
    <col min="2" max="2" width="6.28515625" style="381" bestFit="1" customWidth="1"/>
    <col min="3" max="3" width="7.7109375" style="415" customWidth="1"/>
    <col min="4" max="4" width="11.85546875" style="381" bestFit="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ustomWidth="1"/>
    <col min="14" max="14" width="29.85546875" style="381" customWidth="1"/>
    <col min="15" max="16384" width="9.140625" style="381"/>
  </cols>
  <sheetData>
    <row r="1" spans="1:14" ht="15.6">
      <c r="A1" s="745" t="s">
        <v>227</v>
      </c>
      <c r="B1" s="745"/>
      <c r="C1" s="745"/>
      <c r="D1" s="745"/>
      <c r="E1" s="745"/>
      <c r="F1" s="745"/>
      <c r="G1" s="745"/>
      <c r="H1" s="745"/>
      <c r="I1" s="745"/>
      <c r="J1" s="745"/>
      <c r="K1" s="745"/>
      <c r="L1" s="745"/>
      <c r="M1" s="745"/>
      <c r="N1" s="745"/>
    </row>
    <row r="2" spans="1:14">
      <c r="A2" s="65" t="s">
        <v>242</v>
      </c>
      <c r="C2" s="687"/>
    </row>
    <row r="3" spans="1:14">
      <c r="A3" s="68" t="s">
        <v>1276</v>
      </c>
      <c r="C3" s="687"/>
      <c r="F3" s="554" t="s">
        <v>275</v>
      </c>
    </row>
    <row r="4" spans="1:14">
      <c r="A4" s="68" t="s">
        <v>1284</v>
      </c>
      <c r="B4" s="31"/>
      <c r="C4" s="32"/>
      <c r="D4" s="31"/>
      <c r="E4" s="3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v>0</v>
      </c>
      <c r="G7" s="310">
        <v>0</v>
      </c>
      <c r="H7" s="310">
        <v>0</v>
      </c>
      <c r="I7" s="310">
        <v>0</v>
      </c>
      <c r="J7" s="310">
        <v>0</v>
      </c>
      <c r="K7" s="310">
        <v>0</v>
      </c>
      <c r="L7" s="310">
        <v>0</v>
      </c>
      <c r="M7" s="311">
        <v>0</v>
      </c>
      <c r="N7" s="32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ht="29.7">
      <c r="A18" s="264" t="s">
        <v>1285</v>
      </c>
      <c r="B18" s="264"/>
      <c r="C18" s="44">
        <v>253</v>
      </c>
      <c r="D18" s="45" t="s">
        <v>373</v>
      </c>
      <c r="E18" s="263">
        <v>31</v>
      </c>
      <c r="F18" s="357">
        <f>SUM(G18:M18)</f>
        <v>32</v>
      </c>
      <c r="G18" s="310">
        <v>0</v>
      </c>
      <c r="H18" s="310">
        <v>0</v>
      </c>
      <c r="I18" s="310">
        <v>0</v>
      </c>
      <c r="J18" s="310">
        <v>0</v>
      </c>
      <c r="K18" s="310">
        <v>0</v>
      </c>
      <c r="L18" s="310">
        <v>32</v>
      </c>
      <c r="M18" s="311">
        <v>0</v>
      </c>
      <c r="N18" s="327" t="s">
        <v>1286</v>
      </c>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358"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2">
        <f>SUM(E18:E21)</f>
        <v>31</v>
      </c>
      <c r="F22" s="43">
        <f>SUM(F18:F21)</f>
        <v>32</v>
      </c>
      <c r="G22" s="43">
        <f t="shared" ref="G22:M22" si="2">SUM(G18:G21)</f>
        <v>0</v>
      </c>
      <c r="H22" s="43">
        <f t="shared" si="2"/>
        <v>0</v>
      </c>
      <c r="I22" s="43">
        <f t="shared" si="2"/>
        <v>0</v>
      </c>
      <c r="J22" s="43">
        <f t="shared" si="2"/>
        <v>0</v>
      </c>
      <c r="K22" s="43">
        <f t="shared" si="2"/>
        <v>0</v>
      </c>
      <c r="L22" s="43">
        <f t="shared" si="2"/>
        <v>32</v>
      </c>
      <c r="M22" s="43">
        <f t="shared" si="2"/>
        <v>0</v>
      </c>
      <c r="N22" s="355"/>
    </row>
    <row r="23" spans="1:14" s="358"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v>0</v>
      </c>
      <c r="F24" s="309">
        <f t="shared" ref="F24:F36" si="3">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74.25">
      <c r="A28" s="264" t="s">
        <v>304</v>
      </c>
      <c r="B28" s="36"/>
      <c r="C28" s="44">
        <v>251</v>
      </c>
      <c r="D28" s="45"/>
      <c r="E28" s="263">
        <v>80</v>
      </c>
      <c r="F28" s="309">
        <f t="shared" si="3"/>
        <v>83</v>
      </c>
      <c r="G28" s="310">
        <v>0</v>
      </c>
      <c r="H28" s="310">
        <v>83</v>
      </c>
      <c r="I28" s="310">
        <v>0</v>
      </c>
      <c r="J28" s="310">
        <v>0</v>
      </c>
      <c r="K28" s="310">
        <v>0</v>
      </c>
      <c r="L28" s="310">
        <v>0</v>
      </c>
      <c r="M28" s="311">
        <v>0</v>
      </c>
      <c r="N28" s="325" t="s">
        <v>1287</v>
      </c>
    </row>
    <row r="29" spans="1:14">
      <c r="A29" s="264" t="s">
        <v>428</v>
      </c>
      <c r="B29" s="36"/>
      <c r="C29" s="44">
        <v>251</v>
      </c>
      <c r="D29" s="45"/>
      <c r="E29" s="263">
        <v>0</v>
      </c>
      <c r="F29" s="309">
        <f t="shared" si="3"/>
        <v>0</v>
      </c>
      <c r="G29" s="310"/>
      <c r="H29" s="310">
        <v>0</v>
      </c>
      <c r="I29" s="310"/>
      <c r="J29" s="310">
        <v>0</v>
      </c>
      <c r="K29" s="310">
        <v>0</v>
      </c>
      <c r="L29" s="310">
        <v>0</v>
      </c>
      <c r="M29" s="311">
        <v>0</v>
      </c>
      <c r="N29" s="258"/>
    </row>
    <row r="30" spans="1:14">
      <c r="A30" s="264" t="s">
        <v>313</v>
      </c>
      <c r="B30" s="36"/>
      <c r="C30" s="44">
        <v>252</v>
      </c>
      <c r="D30" s="45"/>
      <c r="E30" s="263">
        <v>0</v>
      </c>
      <c r="F30" s="309">
        <f t="shared" si="3"/>
        <v>0</v>
      </c>
      <c r="G30" s="310">
        <v>0</v>
      </c>
      <c r="H30" s="310">
        <v>0</v>
      </c>
      <c r="I30" s="310">
        <v>0</v>
      </c>
      <c r="J30" s="310">
        <v>0</v>
      </c>
      <c r="K30" s="310">
        <v>0</v>
      </c>
      <c r="L30" s="310">
        <v>0</v>
      </c>
      <c r="M30" s="311">
        <v>0</v>
      </c>
      <c r="N30" s="355"/>
    </row>
    <row r="31" spans="1:14">
      <c r="A31" s="264" t="s">
        <v>314</v>
      </c>
      <c r="B31" s="36"/>
      <c r="C31" s="44">
        <v>252</v>
      </c>
      <c r="D31" s="45"/>
      <c r="E31" s="263">
        <v>0</v>
      </c>
      <c r="F31" s="309">
        <f t="shared" si="3"/>
        <v>0</v>
      </c>
      <c r="G31" s="310">
        <v>0</v>
      </c>
      <c r="H31" s="310">
        <v>0</v>
      </c>
      <c r="I31" s="310">
        <v>0</v>
      </c>
      <c r="J31" s="310">
        <v>0</v>
      </c>
      <c r="K31" s="310">
        <v>0</v>
      </c>
      <c r="L31" s="310">
        <v>0</v>
      </c>
      <c r="M31" s="311">
        <v>0</v>
      </c>
      <c r="N31" s="355"/>
    </row>
    <row r="32" spans="1:14">
      <c r="A32" s="264" t="s">
        <v>315</v>
      </c>
      <c r="B32" s="36"/>
      <c r="C32" s="44">
        <v>253</v>
      </c>
      <c r="D32" s="264"/>
      <c r="E32" s="263">
        <v>0</v>
      </c>
      <c r="F32" s="309">
        <f t="shared" si="3"/>
        <v>0</v>
      </c>
      <c r="G32" s="310">
        <v>0</v>
      </c>
      <c r="H32" s="310">
        <v>0</v>
      </c>
      <c r="I32" s="310">
        <v>0</v>
      </c>
      <c r="J32" s="310">
        <v>0</v>
      </c>
      <c r="K32" s="310">
        <v>0</v>
      </c>
      <c r="L32" s="310">
        <v>0</v>
      </c>
      <c r="M32" s="311">
        <v>0</v>
      </c>
      <c r="N32" s="355"/>
    </row>
    <row r="33" spans="1:14">
      <c r="A33" s="264" t="s">
        <v>316</v>
      </c>
      <c r="B33" s="36"/>
      <c r="C33" s="44">
        <v>255</v>
      </c>
      <c r="D33" s="264"/>
      <c r="E33" s="263">
        <v>0</v>
      </c>
      <c r="F33" s="309">
        <f t="shared" si="3"/>
        <v>0</v>
      </c>
      <c r="G33" s="310">
        <v>0</v>
      </c>
      <c r="H33" s="310">
        <v>0</v>
      </c>
      <c r="I33" s="310">
        <v>0</v>
      </c>
      <c r="J33" s="310">
        <v>0</v>
      </c>
      <c r="K33" s="310">
        <v>0</v>
      </c>
      <c r="L33" s="310">
        <v>0</v>
      </c>
      <c r="M33" s="311">
        <v>0</v>
      </c>
      <c r="N33" s="355"/>
    </row>
    <row r="34" spans="1:14">
      <c r="A34" s="264" t="s">
        <v>317</v>
      </c>
      <c r="B34" s="36"/>
      <c r="C34" s="44">
        <v>256</v>
      </c>
      <c r="D34" s="264"/>
      <c r="E34" s="263">
        <v>0</v>
      </c>
      <c r="F34" s="309">
        <f t="shared" si="3"/>
        <v>0</v>
      </c>
      <c r="G34" s="310">
        <v>0</v>
      </c>
      <c r="H34" s="310">
        <v>0</v>
      </c>
      <c r="I34" s="310">
        <v>0</v>
      </c>
      <c r="J34" s="310">
        <v>0</v>
      </c>
      <c r="K34" s="310">
        <v>0</v>
      </c>
      <c r="L34" s="310">
        <v>0</v>
      </c>
      <c r="M34" s="311">
        <v>0</v>
      </c>
      <c r="N34" s="355"/>
    </row>
    <row r="35" spans="1:14">
      <c r="A35" s="264" t="s">
        <v>318</v>
      </c>
      <c r="B35" s="36"/>
      <c r="C35" s="44">
        <v>257</v>
      </c>
      <c r="D35" s="264"/>
      <c r="E35" s="263">
        <v>26</v>
      </c>
      <c r="F35" s="309">
        <f t="shared" si="3"/>
        <v>27</v>
      </c>
      <c r="G35" s="310">
        <v>0</v>
      </c>
      <c r="H35" s="310">
        <v>27</v>
      </c>
      <c r="I35" s="310">
        <v>0</v>
      </c>
      <c r="J35" s="310">
        <v>0</v>
      </c>
      <c r="K35" s="310">
        <v>0</v>
      </c>
      <c r="L35" s="310">
        <v>0</v>
      </c>
      <c r="M35" s="311">
        <v>0</v>
      </c>
      <c r="N35" s="325" t="s">
        <v>1288</v>
      </c>
    </row>
    <row r="36" spans="1:14">
      <c r="A36" s="264" t="s">
        <v>319</v>
      </c>
      <c r="B36" s="36"/>
      <c r="C36" s="44" t="s">
        <v>320</v>
      </c>
      <c r="D36" s="264"/>
      <c r="E36" s="263">
        <v>0</v>
      </c>
      <c r="F36" s="309">
        <f t="shared" si="3"/>
        <v>0</v>
      </c>
      <c r="G36" s="310">
        <v>0</v>
      </c>
      <c r="H36" s="310">
        <v>0</v>
      </c>
      <c r="I36" s="310">
        <v>0</v>
      </c>
      <c r="J36" s="310">
        <v>0</v>
      </c>
      <c r="K36" s="310">
        <v>0</v>
      </c>
      <c r="L36" s="310">
        <v>0</v>
      </c>
      <c r="M36" s="311">
        <v>0</v>
      </c>
      <c r="N36" s="355"/>
    </row>
    <row r="37" spans="1:14">
      <c r="A37" s="265" t="s">
        <v>321</v>
      </c>
      <c r="B37" s="36"/>
      <c r="C37" s="266" t="s">
        <v>322</v>
      </c>
      <c r="D37" s="246"/>
      <c r="E37" s="263">
        <v>0</v>
      </c>
      <c r="F37" s="309">
        <f>SUM(G37:M37)</f>
        <v>0</v>
      </c>
      <c r="G37" s="310">
        <v>0</v>
      </c>
      <c r="H37" s="310">
        <v>0</v>
      </c>
      <c r="I37" s="310">
        <v>0</v>
      </c>
      <c r="J37" s="310">
        <v>0</v>
      </c>
      <c r="K37" s="310">
        <v>0</v>
      </c>
      <c r="L37" s="310">
        <v>0</v>
      </c>
      <c r="M37" s="311">
        <v>0</v>
      </c>
      <c r="N37" s="355"/>
    </row>
    <row r="38" spans="1:14" ht="60.7" customHeight="1">
      <c r="A38" s="265" t="s">
        <v>323</v>
      </c>
      <c r="B38" s="390"/>
      <c r="C38" s="266" t="s">
        <v>324</v>
      </c>
      <c r="D38" s="265"/>
      <c r="E38" s="318">
        <v>0</v>
      </c>
      <c r="F38" s="309">
        <f>SUM(G38:M38)</f>
        <v>0</v>
      </c>
      <c r="G38" s="165">
        <v>0</v>
      </c>
      <c r="H38" s="165">
        <v>0</v>
      </c>
      <c r="I38" s="165">
        <v>0</v>
      </c>
      <c r="J38" s="165">
        <v>0</v>
      </c>
      <c r="K38" s="165">
        <v>0</v>
      </c>
      <c r="L38" s="165">
        <v>0</v>
      </c>
      <c r="M38" s="166">
        <v>0</v>
      </c>
      <c r="N38" s="325"/>
    </row>
    <row r="39" spans="1:14">
      <c r="A39" s="40" t="s">
        <v>326</v>
      </c>
      <c r="B39" s="265"/>
      <c r="C39" s="266"/>
      <c r="D39" s="247"/>
      <c r="E39" s="242">
        <f t="shared" ref="E39:M39" si="4">SUM(E24:E38)</f>
        <v>106</v>
      </c>
      <c r="F39" s="243">
        <f t="shared" si="4"/>
        <v>110</v>
      </c>
      <c r="G39" s="243">
        <f t="shared" si="4"/>
        <v>0</v>
      </c>
      <c r="H39" s="243">
        <f t="shared" si="4"/>
        <v>110</v>
      </c>
      <c r="I39" s="243">
        <f t="shared" si="4"/>
        <v>0</v>
      </c>
      <c r="J39" s="243">
        <f t="shared" si="4"/>
        <v>0</v>
      </c>
      <c r="K39" s="243">
        <f t="shared" si="4"/>
        <v>0</v>
      </c>
      <c r="L39" s="243">
        <f t="shared" si="4"/>
        <v>0</v>
      </c>
      <c r="M39" s="243">
        <f t="shared" si="4"/>
        <v>0</v>
      </c>
      <c r="N39" s="355"/>
    </row>
    <row r="40" spans="1:14">
      <c r="A40" s="40" t="s">
        <v>327</v>
      </c>
      <c r="B40" s="51"/>
      <c r="C40" s="149"/>
      <c r="D40" s="247"/>
      <c r="E40" s="244"/>
      <c r="F40" s="245">
        <f>SUM(G40:L40)</f>
        <v>0</v>
      </c>
      <c r="G40" s="245"/>
      <c r="H40" s="245">
        <v>0</v>
      </c>
      <c r="I40" s="245"/>
      <c r="J40" s="245"/>
      <c r="K40" s="245"/>
      <c r="L40" s="245"/>
      <c r="M40" s="245"/>
      <c r="N40" s="325"/>
    </row>
    <row r="41" spans="1:14">
      <c r="A41" s="40" t="s">
        <v>328</v>
      </c>
      <c r="B41" s="46"/>
      <c r="C41" s="47"/>
      <c r="D41" s="48">
        <f>D39+D22+D16</f>
        <v>0</v>
      </c>
      <c r="E41" s="242">
        <f>E39+E22+E16-E40</f>
        <v>137</v>
      </c>
      <c r="F41" s="17">
        <f t="shared" ref="F41:M41" si="5">F39+F22+F16-F40</f>
        <v>142</v>
      </c>
      <c r="G41" s="17">
        <f t="shared" si="5"/>
        <v>0</v>
      </c>
      <c r="H41" s="17">
        <f t="shared" si="5"/>
        <v>110</v>
      </c>
      <c r="I41" s="17">
        <f t="shared" si="5"/>
        <v>0</v>
      </c>
      <c r="J41" s="17">
        <f t="shared" si="5"/>
        <v>0</v>
      </c>
      <c r="K41" s="17">
        <f t="shared" si="5"/>
        <v>0</v>
      </c>
      <c r="L41" s="17">
        <f t="shared" si="5"/>
        <v>32</v>
      </c>
      <c r="M41" s="17">
        <f t="shared" si="5"/>
        <v>0</v>
      </c>
      <c r="N41" s="353"/>
    </row>
    <row r="44" spans="1:14" ht="15.6" thickBot="1">
      <c r="A44" s="603"/>
      <c r="B44" s="603"/>
      <c r="C44" s="604"/>
      <c r="D44" s="603"/>
      <c r="E44" s="603"/>
      <c r="F44" s="603"/>
      <c r="G44" s="603"/>
      <c r="H44" s="603"/>
      <c r="I44" s="603"/>
      <c r="J44" s="603"/>
      <c r="K44" s="603"/>
      <c r="L44" s="603"/>
      <c r="M44" s="603"/>
      <c r="N44" s="605"/>
    </row>
    <row r="45" spans="1:14" ht="15.6">
      <c r="A45" s="855" t="s">
        <v>330</v>
      </c>
      <c r="B45" s="856"/>
      <c r="C45" s="856"/>
      <c r="D45" s="856"/>
      <c r="E45" s="856"/>
      <c r="F45" s="856"/>
      <c r="G45" s="606"/>
      <c r="H45" s="603"/>
      <c r="I45" s="603"/>
      <c r="J45" s="603"/>
      <c r="K45" s="603"/>
      <c r="L45" s="603"/>
      <c r="M45" s="603"/>
      <c r="N45" s="605"/>
    </row>
    <row r="46" spans="1:14" ht="15.6">
      <c r="A46" s="857"/>
      <c r="B46" s="858"/>
      <c r="C46" s="858"/>
      <c r="D46" s="858"/>
      <c r="E46" s="858"/>
      <c r="F46" s="858"/>
      <c r="G46" s="607"/>
      <c r="H46" s="603"/>
      <c r="I46" s="603"/>
      <c r="J46" s="603"/>
      <c r="K46" s="603"/>
      <c r="L46" s="603"/>
      <c r="M46" s="603"/>
      <c r="N46" s="605"/>
    </row>
    <row r="47" spans="1:14">
      <c r="A47" s="859" t="s">
        <v>331</v>
      </c>
      <c r="B47" s="860"/>
      <c r="C47" s="608"/>
      <c r="D47" s="608"/>
      <c r="E47" s="608"/>
      <c r="F47" s="608"/>
      <c r="G47" s="607"/>
      <c r="H47" s="603"/>
      <c r="I47" s="603"/>
      <c r="J47" s="603"/>
      <c r="K47" s="603"/>
      <c r="L47" s="603"/>
      <c r="M47" s="603"/>
      <c r="N47" s="605"/>
    </row>
    <row r="48" spans="1:14">
      <c r="A48" s="609" t="s">
        <v>480</v>
      </c>
      <c r="B48" s="610">
        <f>E41</f>
        <v>137</v>
      </c>
      <c r="C48" s="611"/>
      <c r="D48" s="612"/>
      <c r="E48" s="612"/>
      <c r="F48" s="612"/>
      <c r="G48" s="607"/>
      <c r="H48" s="603"/>
      <c r="I48" s="603"/>
      <c r="J48" s="603"/>
      <c r="K48" s="603"/>
      <c r="L48" s="603"/>
      <c r="M48" s="603"/>
      <c r="N48" s="605"/>
    </row>
    <row r="49" spans="1:14">
      <c r="A49" s="613" t="s">
        <v>481</v>
      </c>
      <c r="B49" s="614">
        <f>F41</f>
        <v>142</v>
      </c>
      <c r="C49" s="611"/>
      <c r="D49" s="612"/>
      <c r="E49" s="612"/>
      <c r="F49" s="612"/>
      <c r="G49" s="607"/>
      <c r="H49" s="603"/>
      <c r="I49" s="603"/>
      <c r="J49" s="603"/>
      <c r="K49" s="603"/>
      <c r="L49" s="603"/>
      <c r="M49" s="603"/>
      <c r="N49" s="605"/>
    </row>
    <row r="50" spans="1:14">
      <c r="A50" s="615" t="s">
        <v>334</v>
      </c>
      <c r="B50" s="616">
        <f>B49-B48</f>
        <v>5</v>
      </c>
      <c r="C50" s="611"/>
      <c r="D50" s="612"/>
      <c r="E50" s="612"/>
      <c r="F50" s="612"/>
      <c r="G50" s="607"/>
      <c r="H50" s="603"/>
      <c r="I50" s="603"/>
      <c r="J50" s="603"/>
      <c r="K50" s="603"/>
      <c r="L50" s="603"/>
      <c r="M50" s="603"/>
      <c r="N50" s="605"/>
    </row>
    <row r="51" spans="1:14">
      <c r="A51" s="615" t="s">
        <v>335</v>
      </c>
      <c r="B51" s="617">
        <f>B50/B48</f>
        <v>3.6496350364963501E-2</v>
      </c>
      <c r="C51" s="611"/>
      <c r="D51" s="612"/>
      <c r="E51" s="612"/>
      <c r="F51" s="612"/>
      <c r="G51" s="607"/>
      <c r="H51" s="603"/>
      <c r="I51" s="603"/>
      <c r="J51" s="603"/>
      <c r="K51" s="603"/>
      <c r="L51" s="603"/>
      <c r="M51" s="603"/>
      <c r="N51" s="605"/>
    </row>
    <row r="52" spans="1:14">
      <c r="A52" s="618"/>
      <c r="B52" s="612"/>
      <c r="C52" s="619"/>
      <c r="D52" s="612"/>
      <c r="E52" s="612"/>
      <c r="F52" s="612"/>
      <c r="G52" s="607"/>
      <c r="H52" s="603"/>
      <c r="I52" s="603"/>
      <c r="J52" s="603"/>
      <c r="K52" s="603"/>
      <c r="L52" s="603"/>
      <c r="M52" s="603"/>
      <c r="N52" s="605"/>
    </row>
    <row r="53" spans="1:14">
      <c r="A53" s="842" t="s">
        <v>336</v>
      </c>
      <c r="B53" s="843"/>
      <c r="C53" s="843"/>
      <c r="D53" s="843"/>
      <c r="E53" s="843"/>
      <c r="F53" s="843"/>
      <c r="G53" s="607"/>
      <c r="H53" s="603"/>
      <c r="I53" s="603"/>
      <c r="J53" s="603"/>
      <c r="K53" s="603"/>
      <c r="L53" s="603"/>
      <c r="M53" s="603"/>
      <c r="N53" s="605"/>
    </row>
    <row r="54" spans="1:14" ht="29.5" customHeight="1">
      <c r="A54" s="848" t="s">
        <v>1289</v>
      </c>
      <c r="B54" s="849"/>
      <c r="C54" s="849"/>
      <c r="D54" s="849"/>
      <c r="E54" s="849"/>
      <c r="F54" s="850"/>
      <c r="G54" s="607"/>
      <c r="H54" s="603"/>
      <c r="I54" s="603"/>
      <c r="J54" s="603"/>
      <c r="K54" s="603"/>
      <c r="L54" s="603"/>
      <c r="M54" s="603"/>
      <c r="N54" s="605"/>
    </row>
    <row r="55" spans="1:14">
      <c r="A55" s="620"/>
      <c r="B55" s="621"/>
      <c r="C55" s="621"/>
      <c r="D55" s="621"/>
      <c r="E55" s="621"/>
      <c r="F55" s="621"/>
      <c r="G55" s="607"/>
      <c r="H55" s="603"/>
      <c r="I55" s="603"/>
      <c r="J55" s="603"/>
      <c r="K55" s="603"/>
      <c r="L55" s="603"/>
      <c r="M55" s="603"/>
      <c r="N55" s="605"/>
    </row>
    <row r="56" spans="1:14">
      <c r="A56" s="622" t="s">
        <v>337</v>
      </c>
      <c r="B56" s="612"/>
      <c r="C56" s="619"/>
      <c r="D56" s="612"/>
      <c r="E56" s="612"/>
      <c r="F56" s="612"/>
      <c r="G56" s="607"/>
      <c r="H56" s="603"/>
      <c r="I56" s="603"/>
      <c r="J56" s="603"/>
      <c r="K56" s="603"/>
      <c r="L56" s="603"/>
      <c r="M56" s="603"/>
      <c r="N56" s="605"/>
    </row>
    <row r="57" spans="1:14" ht="30.25" customHeight="1">
      <c r="A57" s="848" t="s">
        <v>1290</v>
      </c>
      <c r="B57" s="849"/>
      <c r="C57" s="849"/>
      <c r="D57" s="849"/>
      <c r="E57" s="849"/>
      <c r="F57" s="850"/>
      <c r="G57" s="607"/>
      <c r="H57" s="603"/>
      <c r="I57" s="603"/>
      <c r="J57" s="603"/>
      <c r="K57" s="603"/>
      <c r="L57" s="603"/>
      <c r="M57" s="603"/>
      <c r="N57" s="605"/>
    </row>
    <row r="58" spans="1:14">
      <c r="A58" s="618"/>
      <c r="B58" s="612"/>
      <c r="C58" s="619"/>
      <c r="D58" s="612"/>
      <c r="E58" s="612"/>
      <c r="F58" s="612"/>
      <c r="G58" s="607"/>
      <c r="H58" s="603"/>
      <c r="I58" s="603"/>
      <c r="J58" s="603"/>
      <c r="K58" s="603"/>
      <c r="L58" s="603"/>
      <c r="M58" s="603"/>
      <c r="N58" s="605"/>
    </row>
    <row r="59" spans="1:14">
      <c r="A59" s="851" t="s">
        <v>365</v>
      </c>
      <c r="B59" s="852"/>
      <c r="C59" s="852"/>
      <c r="D59" s="852"/>
      <c r="E59" s="852"/>
      <c r="F59" s="852"/>
      <c r="G59" s="607"/>
      <c r="H59" s="603"/>
      <c r="I59" s="603"/>
      <c r="J59" s="603"/>
      <c r="K59" s="603"/>
      <c r="L59" s="603"/>
      <c r="M59" s="603"/>
      <c r="N59" s="605"/>
    </row>
    <row r="60" spans="1:14">
      <c r="A60" s="853" t="s">
        <v>339</v>
      </c>
      <c r="B60" s="854"/>
      <c r="C60" s="854"/>
      <c r="D60" s="854"/>
      <c r="E60" s="854"/>
      <c r="F60" s="854"/>
      <c r="G60" s="607"/>
      <c r="H60" s="603"/>
      <c r="I60" s="603"/>
      <c r="J60" s="603"/>
      <c r="K60" s="603"/>
      <c r="L60" s="603"/>
      <c r="M60" s="603"/>
      <c r="N60" s="605"/>
    </row>
    <row r="61" spans="1:14" ht="34.549999999999997" customHeight="1">
      <c r="A61" s="839" t="s">
        <v>1291</v>
      </c>
      <c r="B61" s="840"/>
      <c r="C61" s="840"/>
      <c r="D61" s="840"/>
      <c r="E61" s="840"/>
      <c r="F61" s="841"/>
      <c r="G61" s="607"/>
      <c r="H61" s="603"/>
      <c r="I61" s="603"/>
      <c r="J61" s="603"/>
      <c r="K61" s="603"/>
      <c r="L61" s="603"/>
      <c r="M61" s="603"/>
      <c r="N61" s="605"/>
    </row>
    <row r="62" spans="1:14">
      <c r="A62" s="622"/>
      <c r="B62" s="612"/>
      <c r="C62" s="619"/>
      <c r="D62" s="612"/>
      <c r="E62" s="612"/>
      <c r="F62" s="612"/>
      <c r="G62" s="607"/>
      <c r="H62" s="603"/>
      <c r="I62" s="603"/>
      <c r="J62" s="603"/>
      <c r="K62" s="603"/>
      <c r="L62" s="603"/>
      <c r="M62" s="603"/>
      <c r="N62" s="605"/>
    </row>
    <row r="63" spans="1:14">
      <c r="A63" s="842" t="s">
        <v>340</v>
      </c>
      <c r="B63" s="843"/>
      <c r="C63" s="843"/>
      <c r="D63" s="843"/>
      <c r="E63" s="843"/>
      <c r="F63" s="612"/>
      <c r="G63" s="607"/>
      <c r="H63" s="603"/>
      <c r="I63" s="603"/>
      <c r="J63" s="603"/>
      <c r="K63" s="603"/>
      <c r="L63" s="603"/>
      <c r="M63" s="603"/>
      <c r="N63" s="605"/>
    </row>
    <row r="64" spans="1:14">
      <c r="A64" s="839" t="s">
        <v>1292</v>
      </c>
      <c r="B64" s="840"/>
      <c r="C64" s="840"/>
      <c r="D64" s="840"/>
      <c r="E64" s="840"/>
      <c r="F64" s="841"/>
      <c r="G64" s="607"/>
      <c r="H64" s="603"/>
      <c r="I64" s="603"/>
      <c r="J64" s="603"/>
      <c r="K64" s="603"/>
      <c r="L64" s="603"/>
      <c r="M64" s="603"/>
      <c r="N64" s="605"/>
    </row>
    <row r="65" spans="1:14">
      <c r="A65" s="618"/>
      <c r="B65" s="612"/>
      <c r="C65" s="619"/>
      <c r="D65" s="612"/>
      <c r="E65" s="612"/>
      <c r="F65" s="612"/>
      <c r="G65" s="607"/>
      <c r="H65" s="603"/>
      <c r="I65" s="603"/>
      <c r="J65" s="603"/>
      <c r="K65" s="603"/>
      <c r="L65" s="603"/>
      <c r="M65" s="603"/>
      <c r="N65" s="605"/>
    </row>
    <row r="66" spans="1:14">
      <c r="A66" s="622" t="s">
        <v>953</v>
      </c>
      <c r="B66" s="612"/>
      <c r="C66" s="619"/>
      <c r="D66" s="612"/>
      <c r="E66" s="612"/>
      <c r="F66" s="612"/>
      <c r="G66" s="607"/>
      <c r="H66" s="603"/>
      <c r="I66" s="603"/>
      <c r="J66" s="603"/>
      <c r="K66" s="603"/>
      <c r="L66" s="603"/>
      <c r="M66" s="603"/>
      <c r="N66" s="605"/>
    </row>
    <row r="67" spans="1:14">
      <c r="A67" s="623" t="s">
        <v>342</v>
      </c>
      <c r="B67" s="612"/>
      <c r="C67" s="619"/>
      <c r="D67" s="612"/>
      <c r="E67" s="612"/>
      <c r="F67" s="612"/>
      <c r="G67" s="607"/>
      <c r="H67" s="603"/>
      <c r="I67" s="603"/>
      <c r="J67" s="603"/>
      <c r="K67" s="603"/>
      <c r="L67" s="603"/>
      <c r="M67" s="603"/>
      <c r="N67" s="605"/>
    </row>
    <row r="68" spans="1:14" ht="30.45" customHeight="1">
      <c r="A68" s="844" t="s">
        <v>343</v>
      </c>
      <c r="B68" s="845"/>
      <c r="C68" s="845"/>
      <c r="D68" s="845"/>
      <c r="E68" s="845"/>
      <c r="F68" s="845"/>
      <c r="G68" s="607"/>
      <c r="H68" s="603"/>
      <c r="I68" s="603"/>
      <c r="J68" s="603"/>
      <c r="K68" s="603"/>
      <c r="L68" s="603"/>
      <c r="M68" s="603"/>
      <c r="N68" s="605"/>
    </row>
    <row r="69" spans="1:14" ht="41.2" customHeight="1">
      <c r="A69" s="839" t="s">
        <v>1293</v>
      </c>
      <c r="B69" s="840"/>
      <c r="C69" s="840"/>
      <c r="D69" s="840"/>
      <c r="E69" s="840"/>
      <c r="F69" s="841"/>
      <c r="G69" s="607"/>
      <c r="H69" s="603"/>
      <c r="I69" s="603"/>
      <c r="J69" s="603"/>
      <c r="K69" s="603"/>
      <c r="L69" s="603"/>
      <c r="M69" s="603"/>
      <c r="N69" s="605"/>
    </row>
    <row r="70" spans="1:14">
      <c r="A70" s="846"/>
      <c r="B70" s="847"/>
      <c r="C70" s="847"/>
      <c r="D70" s="847"/>
      <c r="E70" s="847"/>
      <c r="F70" s="847"/>
      <c r="G70" s="607"/>
      <c r="H70" s="603"/>
      <c r="I70" s="603"/>
      <c r="J70" s="603"/>
      <c r="K70" s="603"/>
      <c r="L70" s="603"/>
      <c r="M70" s="603"/>
      <c r="N70" s="605"/>
    </row>
    <row r="71" spans="1:14">
      <c r="A71" s="623" t="s">
        <v>344</v>
      </c>
      <c r="B71" s="612"/>
      <c r="C71" s="619"/>
      <c r="D71" s="612"/>
      <c r="E71" s="612"/>
      <c r="F71" s="612"/>
      <c r="G71" s="607"/>
      <c r="H71" s="603"/>
      <c r="I71" s="603"/>
      <c r="J71" s="603"/>
      <c r="K71" s="603"/>
      <c r="L71" s="603"/>
      <c r="M71" s="603"/>
      <c r="N71" s="605"/>
    </row>
    <row r="72" spans="1:14" ht="38.6" customHeight="1">
      <c r="A72" s="837" t="s">
        <v>345</v>
      </c>
      <c r="B72" s="838"/>
      <c r="C72" s="838"/>
      <c r="D72" s="838"/>
      <c r="E72" s="838"/>
      <c r="F72" s="838"/>
      <c r="G72" s="607"/>
      <c r="H72" s="603"/>
      <c r="I72" s="603"/>
      <c r="J72" s="603"/>
      <c r="K72" s="603"/>
      <c r="L72" s="603"/>
      <c r="M72" s="603"/>
      <c r="N72" s="605"/>
    </row>
    <row r="73" spans="1:14">
      <c r="A73" s="839" t="s">
        <v>679</v>
      </c>
      <c r="B73" s="840"/>
      <c r="C73" s="840"/>
      <c r="D73" s="840"/>
      <c r="E73" s="840"/>
      <c r="F73" s="841"/>
      <c r="G73" s="607"/>
      <c r="H73" s="603"/>
      <c r="I73" s="603"/>
      <c r="J73" s="603"/>
      <c r="K73" s="603"/>
      <c r="L73" s="603"/>
      <c r="M73" s="603"/>
      <c r="N73" s="605"/>
    </row>
    <row r="74" spans="1:14" ht="15.6" thickBot="1">
      <c r="A74" s="624"/>
      <c r="B74" s="625"/>
      <c r="C74" s="626"/>
      <c r="D74" s="625"/>
      <c r="E74" s="625"/>
      <c r="F74" s="625"/>
      <c r="G74" s="627"/>
      <c r="H74" s="603"/>
      <c r="I74" s="603"/>
      <c r="J74" s="603"/>
      <c r="K74" s="603"/>
      <c r="L74" s="603"/>
      <c r="M74" s="603"/>
      <c r="N74" s="605"/>
    </row>
    <row r="75" spans="1:14">
      <c r="A75" s="603"/>
      <c r="B75" s="603"/>
      <c r="C75" s="604"/>
      <c r="D75" s="603"/>
      <c r="E75" s="603"/>
      <c r="F75" s="603"/>
      <c r="G75" s="603"/>
      <c r="H75" s="603"/>
      <c r="I75" s="603"/>
      <c r="J75" s="603"/>
      <c r="K75" s="603"/>
      <c r="L75" s="603"/>
      <c r="M75" s="603"/>
      <c r="N75" s="605"/>
    </row>
    <row r="76" spans="1:14">
      <c r="C76" s="687"/>
    </row>
    <row r="77" spans="1:14">
      <c r="C77" s="687"/>
    </row>
  </sheetData>
  <mergeCells count="17">
    <mergeCell ref="A1:N1"/>
    <mergeCell ref="A45:F45"/>
    <mergeCell ref="A46:F46"/>
    <mergeCell ref="A47:B47"/>
    <mergeCell ref="A53:F53"/>
    <mergeCell ref="A54:F54"/>
    <mergeCell ref="A57:F57"/>
    <mergeCell ref="A59:F59"/>
    <mergeCell ref="A60:F60"/>
    <mergeCell ref="A61:F61"/>
    <mergeCell ref="A72:F72"/>
    <mergeCell ref="A73:F73"/>
    <mergeCell ref="A63:E63"/>
    <mergeCell ref="A64:F64"/>
    <mergeCell ref="A68:F68"/>
    <mergeCell ref="A69:F69"/>
    <mergeCell ref="A70:F70"/>
  </mergeCells>
  <printOptions horizontalCentered="1"/>
  <pageMargins left="0.2" right="0.2"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V50"/>
  <sheetViews>
    <sheetView zoomScaleNormal="100" workbookViewId="0"/>
  </sheetViews>
  <sheetFormatPr defaultColWidth="8.85546875" defaultRowHeight="14.85"/>
  <cols>
    <col min="1" max="1" width="59.28515625" style="321" customWidth="1"/>
    <col min="2" max="2" width="7.42578125" style="321" customWidth="1"/>
    <col min="3" max="4" width="9.85546875" style="321" customWidth="1"/>
    <col min="5" max="5" width="10.28515625" style="321" bestFit="1" customWidth="1"/>
    <col min="6" max="6" width="10.85546875" style="321" customWidth="1"/>
    <col min="7" max="7" width="11.140625" style="321" customWidth="1"/>
    <col min="8" max="8" width="10" style="321" customWidth="1"/>
    <col min="9" max="9" width="10" style="321" bestFit="1" customWidth="1"/>
    <col min="10" max="10" width="10" style="321" customWidth="1"/>
    <col min="11" max="12" width="10.42578125" style="321" bestFit="1" customWidth="1"/>
    <col min="13" max="13" width="10.85546875" style="321" customWidth="1"/>
    <col min="14" max="14" width="10.28515625" style="252" customWidth="1"/>
    <col min="15" max="15" width="10" style="321" bestFit="1" customWidth="1"/>
    <col min="16" max="16" width="10.5703125" style="321" customWidth="1"/>
    <col min="17" max="16384" width="8.85546875" style="321"/>
  </cols>
  <sheetData>
    <row r="1" spans="1:16" ht="18.600000000000001">
      <c r="A1" s="324" t="s">
        <v>225</v>
      </c>
      <c r="B1" s="323"/>
      <c r="C1" s="323"/>
      <c r="D1" s="323"/>
      <c r="E1" s="323"/>
      <c r="F1" s="323"/>
      <c r="G1" s="323"/>
      <c r="H1" s="323"/>
      <c r="I1" s="323"/>
      <c r="J1" s="323"/>
      <c r="K1" s="323"/>
      <c r="L1" s="323"/>
      <c r="M1" s="423" t="s">
        <v>226</v>
      </c>
      <c r="N1" s="257"/>
      <c r="O1" s="381"/>
      <c r="P1" s="381"/>
    </row>
    <row r="2" spans="1:16" ht="38.6">
      <c r="A2" s="112" t="s">
        <v>227</v>
      </c>
      <c r="B2" s="1" t="s">
        <v>175</v>
      </c>
      <c r="C2" s="2" t="s">
        <v>176</v>
      </c>
      <c r="D2" s="108" t="s">
        <v>177</v>
      </c>
      <c r="E2" s="107" t="s">
        <v>0</v>
      </c>
      <c r="F2" s="1" t="s">
        <v>1</v>
      </c>
      <c r="G2" s="1" t="s">
        <v>2</v>
      </c>
      <c r="H2" s="1" t="s">
        <v>3</v>
      </c>
      <c r="I2" s="1" t="s">
        <v>4</v>
      </c>
      <c r="J2" s="1" t="s">
        <v>34</v>
      </c>
      <c r="K2" s="1" t="s">
        <v>5</v>
      </c>
      <c r="L2" s="234" t="s">
        <v>178</v>
      </c>
      <c r="M2" s="423"/>
      <c r="N2" s="257"/>
      <c r="O2" s="381"/>
      <c r="P2" s="381"/>
    </row>
    <row r="3" spans="1:16">
      <c r="A3" s="142" t="s">
        <v>228</v>
      </c>
      <c r="B3" s="123" t="s">
        <v>190</v>
      </c>
      <c r="C3" s="124">
        <f>'AGOL Collector'!E42</f>
        <v>456</v>
      </c>
      <c r="D3" s="574">
        <f>'AGOL Collector'!F42</f>
        <v>549</v>
      </c>
      <c r="E3" s="124">
        <f>'AGOL Collector'!G41</f>
        <v>0</v>
      </c>
      <c r="F3" s="124">
        <f>'AGOL Collector'!H41</f>
        <v>0</v>
      </c>
      <c r="G3" s="124">
        <f>'AGOL Collector'!I41</f>
        <v>0</v>
      </c>
      <c r="H3" s="124">
        <f>'AGOL Collector'!J41-'AGOL Collector'!B44</f>
        <v>549</v>
      </c>
      <c r="I3" s="273">
        <f>'AGOL Collector'!K41</f>
        <v>0</v>
      </c>
      <c r="J3" s="273">
        <f>'AGOL Collector'!L41</f>
        <v>0</v>
      </c>
      <c r="K3" s="138">
        <f>SUM(E3:J3)</f>
        <v>549</v>
      </c>
      <c r="L3" s="233">
        <f>(K3*-$M$2)+K3</f>
        <v>549</v>
      </c>
      <c r="M3" s="227"/>
      <c r="N3" s="393"/>
      <c r="O3" s="29"/>
      <c r="P3" s="29"/>
    </row>
    <row r="4" spans="1:16">
      <c r="A4" s="142" t="s">
        <v>229</v>
      </c>
      <c r="B4" s="123" t="s">
        <v>190</v>
      </c>
      <c r="C4" s="124">
        <f>CROS!E37</f>
        <v>0</v>
      </c>
      <c r="D4" s="574">
        <f>CROS!F37</f>
        <v>0</v>
      </c>
      <c r="E4" s="124">
        <f>CROS!G37</f>
        <v>0</v>
      </c>
      <c r="F4" s="124">
        <f>CROS!H37</f>
        <v>0</v>
      </c>
      <c r="G4" s="124">
        <f>CROS!I37</f>
        <v>0</v>
      </c>
      <c r="H4" s="124">
        <f>CROS!J37</f>
        <v>0</v>
      </c>
      <c r="I4" s="273">
        <f>CROS!K37</f>
        <v>0</v>
      </c>
      <c r="J4" s="273">
        <f>CROS!L37</f>
        <v>0</v>
      </c>
      <c r="K4" s="138">
        <f>SUM(E4:J4)</f>
        <v>0</v>
      </c>
      <c r="L4" s="233">
        <f t="shared" ref="L4:L11" si="0">(K4*-$M$2)+K4</f>
        <v>0</v>
      </c>
      <c r="M4" s="227"/>
      <c r="N4" s="393"/>
      <c r="O4" s="29"/>
      <c r="P4" s="29"/>
    </row>
    <row r="5" spans="1:16">
      <c r="A5" s="142" t="s">
        <v>230</v>
      </c>
      <c r="B5" s="182" t="s">
        <v>190</v>
      </c>
      <c r="C5" s="124">
        <f>CAD!E42</f>
        <v>1434</v>
      </c>
      <c r="D5" s="574">
        <f>CAD!F42</f>
        <v>1693.7930000000001</v>
      </c>
      <c r="E5" s="124">
        <f>CAD!G41</f>
        <v>0</v>
      </c>
      <c r="F5" s="124">
        <f>CAD!H41</f>
        <v>0</v>
      </c>
      <c r="G5" s="124">
        <f>CAD!I41</f>
        <v>0</v>
      </c>
      <c r="H5" s="124">
        <f>CAD!J41</f>
        <v>0</v>
      </c>
      <c r="I5" s="124">
        <f>CAD!K41-CAD!B48</f>
        <v>1693.7930000000001</v>
      </c>
      <c r="J5" s="124">
        <f>CAD!L41</f>
        <v>0</v>
      </c>
      <c r="K5" s="138">
        <f>SUM(E5:J5)</f>
        <v>1693.7930000000001</v>
      </c>
      <c r="L5" s="233">
        <f>(K5*-$M$2)+K5</f>
        <v>1693.7930000000001</v>
      </c>
      <c r="M5" s="227"/>
      <c r="N5" s="393"/>
      <c r="O5" s="29"/>
      <c r="P5" s="29"/>
    </row>
    <row r="6" spans="1:16">
      <c r="A6" s="142" t="s">
        <v>231</v>
      </c>
      <c r="B6" s="123" t="s">
        <v>190</v>
      </c>
      <c r="C6" s="124">
        <f>FireCode!E40</f>
        <v>178</v>
      </c>
      <c r="D6" s="574">
        <f>FireCode!F40</f>
        <v>189</v>
      </c>
      <c r="E6" s="124">
        <f>FireCode!G40</f>
        <v>0</v>
      </c>
      <c r="F6" s="124">
        <f>FireCode!H40</f>
        <v>189</v>
      </c>
      <c r="G6" s="124">
        <f>FireCode!I40</f>
        <v>0</v>
      </c>
      <c r="H6" s="124">
        <f>FireCode!J40</f>
        <v>0</v>
      </c>
      <c r="I6" s="273">
        <f>FireCode!K40</f>
        <v>0</v>
      </c>
      <c r="J6" s="273">
        <f>FireCode!L40</f>
        <v>0</v>
      </c>
      <c r="K6" s="138">
        <f t="shared" ref="K6:K19" si="1">SUM(E6:J6)</f>
        <v>189</v>
      </c>
      <c r="L6" s="233">
        <f t="shared" si="0"/>
        <v>189</v>
      </c>
      <c r="M6" s="227"/>
      <c r="N6" s="393"/>
      <c r="O6" s="29"/>
      <c r="P6" s="29"/>
    </row>
    <row r="7" spans="1:16">
      <c r="A7" s="142" t="s">
        <v>232</v>
      </c>
      <c r="B7" s="123" t="s">
        <v>190</v>
      </c>
      <c r="C7" s="124">
        <f>+FIRENET!E41</f>
        <v>878</v>
      </c>
      <c r="D7" s="574">
        <f>FIRENET!F41</f>
        <v>935</v>
      </c>
      <c r="E7" s="124">
        <f>FIRENET!G40</f>
        <v>0</v>
      </c>
      <c r="F7" s="124">
        <f>FIRENET!H40</f>
        <v>0</v>
      </c>
      <c r="G7" s="124">
        <f>FIRENET!I40</f>
        <v>0</v>
      </c>
      <c r="H7" s="124">
        <f>FIRENET!J40</f>
        <v>0</v>
      </c>
      <c r="I7" s="124">
        <f>FIRENET!K40</f>
        <v>594</v>
      </c>
      <c r="J7" s="124">
        <f>FIRENET!L40-FIRENET!B47</f>
        <v>341</v>
      </c>
      <c r="K7" s="138">
        <f>SUM(E7:J7)</f>
        <v>935</v>
      </c>
      <c r="L7" s="233">
        <f t="shared" si="0"/>
        <v>935</v>
      </c>
      <c r="M7" s="227"/>
      <c r="N7" s="393"/>
      <c r="O7" s="29"/>
      <c r="P7" s="29"/>
    </row>
    <row r="8" spans="1:16" ht="29.7">
      <c r="A8" s="461" t="s">
        <v>233</v>
      </c>
      <c r="B8" s="123" t="s">
        <v>190</v>
      </c>
      <c r="C8" s="124">
        <f>'FxNET-AWIPSII'!E43</f>
        <v>131</v>
      </c>
      <c r="D8" s="574">
        <f>'FxNET-AWIPSII'!F43</f>
        <v>100</v>
      </c>
      <c r="E8" s="124">
        <f>'FxNET-AWIPSII'!G42</f>
        <v>0</v>
      </c>
      <c r="F8" s="124">
        <f>'FxNET-AWIPSII'!H42-'FxNET-AWIPSII'!B48</f>
        <v>100</v>
      </c>
      <c r="G8" s="124">
        <f>'FxNET-AWIPSII'!I42</f>
        <v>0</v>
      </c>
      <c r="H8" s="124">
        <f>'FxNET-AWIPSII'!J42</f>
        <v>0</v>
      </c>
      <c r="I8" s="273">
        <f>'FxNET-AWIPSII'!K42</f>
        <v>0</v>
      </c>
      <c r="J8" s="273">
        <f>'FxNET-AWIPSII'!L42</f>
        <v>0</v>
      </c>
      <c r="K8" s="138">
        <f t="shared" si="1"/>
        <v>100</v>
      </c>
      <c r="L8" s="233">
        <f t="shared" si="0"/>
        <v>100</v>
      </c>
      <c r="M8" s="227"/>
      <c r="N8" s="393"/>
      <c r="O8" s="29"/>
      <c r="P8" s="29"/>
    </row>
    <row r="9" spans="1:16" ht="29.7">
      <c r="A9" s="312" t="s">
        <v>234</v>
      </c>
      <c r="B9" s="123" t="s">
        <v>190</v>
      </c>
      <c r="C9" s="124">
        <f>+IQCS!M50</f>
        <v>748</v>
      </c>
      <c r="D9" s="574">
        <f>+F9</f>
        <v>789.91504999999995</v>
      </c>
      <c r="E9" s="124">
        <f>IQCS!G40*'Prep%Fuelspercentage.direct'!$B38</f>
        <v>0</v>
      </c>
      <c r="F9" s="124">
        <f>+IQCS!L44</f>
        <v>789.91504999999995</v>
      </c>
      <c r="G9" s="124">
        <f>IQCS!I40*'Prep%Fuelspercentage.direct'!$B38</f>
        <v>0</v>
      </c>
      <c r="H9" s="124">
        <f>IQCS!J40*'Prep%Fuelspercentage.direct'!$B38</f>
        <v>0</v>
      </c>
      <c r="I9" s="124">
        <f>IQCS!K40*'Prep%Fuelspercentage.direct'!$B38</f>
        <v>0</v>
      </c>
      <c r="J9" s="124">
        <f>(IQCS!L40-IQCS!F43)*'Prep%Fuelspercentage.direct'!$B38</f>
        <v>0</v>
      </c>
      <c r="K9" s="138">
        <f>SUM(E9:J9)</f>
        <v>789.91504999999995</v>
      </c>
      <c r="L9" s="233">
        <f>(K9*-$M$2)+K9</f>
        <v>789.91504999999995</v>
      </c>
      <c r="M9" s="227"/>
      <c r="N9" s="393"/>
      <c r="O9" s="227"/>
      <c r="P9" s="392"/>
    </row>
    <row r="10" spans="1:16">
      <c r="A10" s="142" t="s">
        <v>235</v>
      </c>
      <c r="B10" s="182" t="s">
        <v>190</v>
      </c>
      <c r="C10" s="124">
        <f>INFORM!E43</f>
        <v>350</v>
      </c>
      <c r="D10" s="574">
        <f>+INFORM!I46</f>
        <v>307.93989999999997</v>
      </c>
      <c r="E10" s="124">
        <f>INFORM!G43</f>
        <v>0</v>
      </c>
      <c r="F10" s="124">
        <f>INFORM!I46-J10</f>
        <v>194.63560000000004</v>
      </c>
      <c r="G10" s="124">
        <f>INFORM!I43</f>
        <v>0</v>
      </c>
      <c r="H10" s="124">
        <f>INFORM!J43</f>
        <v>0</v>
      </c>
      <c r="I10" s="124">
        <v>0</v>
      </c>
      <c r="J10" s="124">
        <f>(INFORM!L46)+0.4</f>
        <v>113.30429999999993</v>
      </c>
      <c r="K10" s="138">
        <f>SUM(E10:J10)</f>
        <v>307.93989999999997</v>
      </c>
      <c r="L10" s="233">
        <f>(K10*-$M$2)+K10</f>
        <v>307.93989999999997</v>
      </c>
      <c r="M10" s="227"/>
      <c r="N10" s="393"/>
      <c r="O10" s="29"/>
      <c r="P10" s="29"/>
    </row>
    <row r="11" spans="1:16">
      <c r="A11" s="142" t="s">
        <v>236</v>
      </c>
      <c r="B11" s="123" t="s">
        <v>190</v>
      </c>
      <c r="C11" s="124">
        <f>+IrWIN!E46</f>
        <v>1907</v>
      </c>
      <c r="D11" s="574">
        <f>ROUND(IrWIN!F46,0)</f>
        <v>2201</v>
      </c>
      <c r="E11" s="124">
        <f>IrWIN!G45</f>
        <v>0</v>
      </c>
      <c r="F11" s="124">
        <f>IrWIN!H45</f>
        <v>0</v>
      </c>
      <c r="G11" s="124">
        <f>IrWIN!I45</f>
        <v>0</v>
      </c>
      <c r="H11" s="124">
        <f>IrWIN!J45</f>
        <v>0</v>
      </c>
      <c r="I11" s="273">
        <f>ROUND(IrWIN!K45,0)</f>
        <v>2086</v>
      </c>
      <c r="J11" s="273">
        <f>ROUND((IrWIN!L45),0)</f>
        <v>115</v>
      </c>
      <c r="K11" s="138">
        <f t="shared" si="1"/>
        <v>2201</v>
      </c>
      <c r="L11" s="233">
        <f t="shared" si="0"/>
        <v>2201</v>
      </c>
      <c r="M11" s="227"/>
      <c r="N11" s="393"/>
      <c r="O11" s="29"/>
      <c r="P11" s="29"/>
    </row>
    <row r="12" spans="1:16">
      <c r="A12" s="142" t="s">
        <v>237</v>
      </c>
      <c r="B12" s="123" t="s">
        <v>190</v>
      </c>
      <c r="C12" s="124">
        <f>SAFENET!E40</f>
        <v>81</v>
      </c>
      <c r="D12" s="574">
        <f>SAFENET!F40</f>
        <v>43</v>
      </c>
      <c r="E12" s="124">
        <f>SAFENET!G40</f>
        <v>0</v>
      </c>
      <c r="F12" s="124">
        <f>SAFENET!H40</f>
        <v>43</v>
      </c>
      <c r="G12" s="124">
        <f>SAFENET!I40</f>
        <v>0</v>
      </c>
      <c r="H12" s="124">
        <f>SAFENET!J40</f>
        <v>0</v>
      </c>
      <c r="I12" s="273">
        <f>SAFENET!K40</f>
        <v>0</v>
      </c>
      <c r="J12" s="273">
        <v>0</v>
      </c>
      <c r="K12" s="138">
        <f t="shared" si="1"/>
        <v>43</v>
      </c>
      <c r="L12" s="233">
        <f t="shared" ref="L12:L19" si="2">(K12*-$M$2)+K12</f>
        <v>43</v>
      </c>
      <c r="M12" s="227"/>
      <c r="N12" s="393"/>
      <c r="O12" s="29"/>
      <c r="P12" s="29"/>
    </row>
    <row r="13" spans="1:16" s="381" customFormat="1">
      <c r="A13" s="573" t="s">
        <v>238</v>
      </c>
      <c r="B13" s="381" t="s">
        <v>190</v>
      </c>
      <c r="C13" s="287">
        <f>+'WFIT Data Management'!K53</f>
        <v>100</v>
      </c>
      <c r="D13" s="574">
        <f>+'WFIT Data Management'!J45</f>
        <v>120.88974999999999</v>
      </c>
      <c r="E13" s="287">
        <f>+'WFIT Data Management'!G39</f>
        <v>0</v>
      </c>
      <c r="F13" s="287">
        <f>+'WFIT Data Management'!H39</f>
        <v>0</v>
      </c>
      <c r="G13" s="287">
        <f>+'WFIT Data Management'!I39</f>
        <v>0</v>
      </c>
      <c r="H13" s="287">
        <f>+'WFIT Data Management'!J39</f>
        <v>0</v>
      </c>
      <c r="I13" s="287">
        <f>+'WFIT Data Management'!J45</f>
        <v>120.88974999999999</v>
      </c>
      <c r="J13" s="287">
        <f>+'WFIT Data Management'!L39</f>
        <v>0</v>
      </c>
      <c r="K13" s="138">
        <f>SUM(E13:J13)</f>
        <v>120.88974999999999</v>
      </c>
      <c r="L13" s="233">
        <f t="shared" si="2"/>
        <v>120.88974999999999</v>
      </c>
      <c r="M13" s="227"/>
      <c r="N13" s="393"/>
      <c r="O13" s="29"/>
      <c r="P13" s="29"/>
    </row>
    <row r="14" spans="1:16">
      <c r="A14" s="142" t="s">
        <v>239</v>
      </c>
      <c r="B14" s="123" t="s">
        <v>190</v>
      </c>
      <c r="C14" s="124">
        <f>+'WFIT Staff'!K49</f>
        <v>307</v>
      </c>
      <c r="D14" s="574">
        <f>+I14</f>
        <v>356.03009999999995</v>
      </c>
      <c r="E14" s="124">
        <f>'WFIT Staff'!G36*'Prep%Fuelspercentage.direct'!$B38</f>
        <v>0</v>
      </c>
      <c r="F14" s="124">
        <f>'WFIT Staff'!H36*'Prep%Fuelspercentage.direct'!$B38</f>
        <v>0</v>
      </c>
      <c r="G14" s="124">
        <f>'WFIT Staff'!I36*'Prep%Fuelspercentage.direct'!$B38</f>
        <v>0</v>
      </c>
      <c r="H14" s="124">
        <f>'WFIT Staff'!J36*'Prep%Fuelspercentage.direct'!$B38</f>
        <v>0</v>
      </c>
      <c r="I14" s="273">
        <f>(+'WFIT Staff'!J41)+0.4</f>
        <v>356.03009999999995</v>
      </c>
      <c r="J14" s="124">
        <f>'WFIT Staff'!L36</f>
        <v>0</v>
      </c>
      <c r="K14" s="138">
        <f>SUM(E14:J14)</f>
        <v>356.03009999999995</v>
      </c>
      <c r="L14" s="233">
        <f t="shared" si="2"/>
        <v>356.03009999999995</v>
      </c>
      <c r="M14" s="227"/>
      <c r="N14" s="393"/>
      <c r="O14" s="227"/>
      <c r="P14" s="227"/>
    </row>
    <row r="15" spans="1:16">
      <c r="A15" s="142" t="s">
        <v>240</v>
      </c>
      <c r="B15" s="123" t="s">
        <v>190</v>
      </c>
      <c r="C15" s="124">
        <f>+WFDSS!E39</f>
        <v>881</v>
      </c>
      <c r="D15" s="574">
        <f>WFDSS!F39</f>
        <v>708</v>
      </c>
      <c r="E15" s="124">
        <f>ROUND(WFDSS!G39,0)</f>
        <v>0</v>
      </c>
      <c r="F15" s="124">
        <f>ROUND(WFDSS!H39,0)</f>
        <v>0</v>
      </c>
      <c r="G15" s="124">
        <f>ROUND(WFDSS!I39,0)</f>
        <v>0</v>
      </c>
      <c r="H15" s="124">
        <f>ROUND(WFDSS!J39,0)</f>
        <v>20</v>
      </c>
      <c r="I15" s="124">
        <f>ROUND(WFDSS!K39,0)</f>
        <v>564</v>
      </c>
      <c r="J15" s="124">
        <f>ROUND(WFDSS!L39,0)</f>
        <v>124</v>
      </c>
      <c r="K15" s="138">
        <f t="shared" si="1"/>
        <v>708</v>
      </c>
      <c r="L15" s="233">
        <f t="shared" si="2"/>
        <v>708</v>
      </c>
      <c r="M15" s="227"/>
      <c r="N15" s="393"/>
      <c r="O15" s="29"/>
      <c r="P15" s="29"/>
    </row>
    <row r="16" spans="1:16">
      <c r="A16" s="142" t="s">
        <v>241</v>
      </c>
      <c r="B16" s="182" t="s">
        <v>190</v>
      </c>
      <c r="C16" s="124">
        <f>'WFMI-Fire Reporting'!E41</f>
        <v>52</v>
      </c>
      <c r="D16" s="574">
        <f>'WFMI-Fire Reporting'!F41</f>
        <v>53</v>
      </c>
      <c r="E16" s="124">
        <f>'WFMI-Fire Reporting'!G41</f>
        <v>0</v>
      </c>
      <c r="F16" s="124">
        <f>'WFMI-Fire Reporting'!H41</f>
        <v>53</v>
      </c>
      <c r="G16" s="124">
        <f>'WFMI-Fire Reporting'!I41</f>
        <v>0</v>
      </c>
      <c r="H16" s="124">
        <f>'WFMI-Fire Reporting'!J41</f>
        <v>0</v>
      </c>
      <c r="I16" s="124">
        <f>'WFMI-Fire Reporting'!K41</f>
        <v>0</v>
      </c>
      <c r="J16" s="124">
        <f>'WFMI-Fire Reporting'!L41</f>
        <v>0</v>
      </c>
      <c r="K16" s="138">
        <f t="shared" si="1"/>
        <v>53</v>
      </c>
      <c r="L16" s="233">
        <f t="shared" si="2"/>
        <v>53</v>
      </c>
      <c r="M16" s="227"/>
      <c r="N16" s="393"/>
      <c r="O16" s="29"/>
      <c r="P16" s="29"/>
    </row>
    <row r="17" spans="1:48" s="381" customFormat="1">
      <c r="A17" s="142" t="s">
        <v>242</v>
      </c>
      <c r="B17" s="182" t="s">
        <v>190</v>
      </c>
      <c r="C17" s="124">
        <f>+'WFMI-Lightning'!E41</f>
        <v>137</v>
      </c>
      <c r="D17" s="574">
        <f>+'WFMI-Lightning'!F41</f>
        <v>142</v>
      </c>
      <c r="E17" s="124">
        <f>+'WFMI-Lightning'!G41</f>
        <v>0</v>
      </c>
      <c r="F17" s="124">
        <f>+'WFMI-Lightning'!H41</f>
        <v>110</v>
      </c>
      <c r="G17" s="124">
        <f>+'WFMI-Lightning'!I41</f>
        <v>0</v>
      </c>
      <c r="H17" s="124">
        <f>+'WFMI-Lightning'!J41</f>
        <v>0</v>
      </c>
      <c r="I17" s="124">
        <f>+'WFMI-Lightning'!K41</f>
        <v>0</v>
      </c>
      <c r="J17" s="124">
        <f>+'WFMI-Lightning'!L41</f>
        <v>32</v>
      </c>
      <c r="K17" s="138">
        <f t="shared" si="1"/>
        <v>142</v>
      </c>
      <c r="L17" s="233">
        <f t="shared" si="2"/>
        <v>142</v>
      </c>
      <c r="M17" s="227"/>
      <c r="N17" s="393"/>
      <c r="O17" s="29"/>
      <c r="P17" s="29"/>
    </row>
    <row r="18" spans="1:48" s="381" customFormat="1">
      <c r="A18" s="142" t="s">
        <v>243</v>
      </c>
      <c r="B18" s="182" t="s">
        <v>190</v>
      </c>
      <c r="C18" s="124">
        <f>+'WFMI-Unit ID'!E41</f>
        <v>44</v>
      </c>
      <c r="D18" s="574">
        <f>+'WFMI-Unit ID'!F41</f>
        <v>46</v>
      </c>
      <c r="E18" s="124">
        <f>+'WFMI-Unit ID'!G41</f>
        <v>0</v>
      </c>
      <c r="F18" s="124">
        <f>+'WFMI-Unit ID'!H41</f>
        <v>46</v>
      </c>
      <c r="G18" s="124">
        <f>+'WFMI-Unit ID'!I41</f>
        <v>0</v>
      </c>
      <c r="H18" s="124">
        <f>+'WFMI-Unit ID'!J41</f>
        <v>0</v>
      </c>
      <c r="I18" s="124">
        <f>+'WFMI-Unit ID'!K41</f>
        <v>0</v>
      </c>
      <c r="J18" s="124">
        <f>+'WFMI-Unit ID'!L41</f>
        <v>0</v>
      </c>
      <c r="K18" s="138">
        <f t="shared" si="1"/>
        <v>46</v>
      </c>
      <c r="L18" s="233">
        <f t="shared" si="2"/>
        <v>46</v>
      </c>
      <c r="M18" s="227"/>
      <c r="N18" s="393"/>
      <c r="O18" s="29"/>
      <c r="P18" s="29"/>
    </row>
    <row r="19" spans="1:48" s="381" customFormat="1">
      <c r="A19" s="142" t="s">
        <v>244</v>
      </c>
      <c r="B19" s="182" t="s">
        <v>190</v>
      </c>
      <c r="C19" s="124">
        <f>+'WFMI-Weather'!E41</f>
        <v>232</v>
      </c>
      <c r="D19" s="574">
        <f>+'WFMI-Weather'!F41</f>
        <v>239</v>
      </c>
      <c r="E19" s="124">
        <f>+'WFMI-Weather'!G41</f>
        <v>0</v>
      </c>
      <c r="F19" s="124">
        <f>+'WFMI-Weather'!H41</f>
        <v>239</v>
      </c>
      <c r="G19" s="124">
        <f>+'WFMI-Weather'!I41</f>
        <v>0</v>
      </c>
      <c r="H19" s="124">
        <f>+'WFMI-Weather'!J41</f>
        <v>0</v>
      </c>
      <c r="I19" s="124">
        <f>+'WFMI-Weather'!K41</f>
        <v>0</v>
      </c>
      <c r="J19" s="124">
        <f>+'WFMI-Weather'!L41</f>
        <v>0</v>
      </c>
      <c r="K19" s="138">
        <f t="shared" si="1"/>
        <v>239</v>
      </c>
      <c r="L19" s="233">
        <f t="shared" si="2"/>
        <v>239</v>
      </c>
      <c r="M19" s="227"/>
      <c r="N19" s="393"/>
      <c r="O19" s="29"/>
      <c r="P19" s="29"/>
    </row>
    <row r="20" spans="1:48">
      <c r="A20" s="140" t="s">
        <v>196</v>
      </c>
      <c r="B20" s="119"/>
      <c r="C20" s="125">
        <f t="shared" ref="C20:L20" si="3">SUM(C3:C19)</f>
        <v>7916</v>
      </c>
      <c r="D20" s="141">
        <f t="shared" si="3"/>
        <v>8473.5678000000007</v>
      </c>
      <c r="E20" s="125">
        <f t="shared" si="3"/>
        <v>0</v>
      </c>
      <c r="F20" s="125">
        <f t="shared" si="3"/>
        <v>1764.5506500000001</v>
      </c>
      <c r="G20" s="125">
        <f t="shared" si="3"/>
        <v>0</v>
      </c>
      <c r="H20" s="125">
        <f t="shared" si="3"/>
        <v>569</v>
      </c>
      <c r="I20" s="125">
        <f t="shared" si="3"/>
        <v>5414.7128499999999</v>
      </c>
      <c r="J20" s="125">
        <f t="shared" si="3"/>
        <v>725.3042999999999</v>
      </c>
      <c r="K20" s="137">
        <f t="shared" si="3"/>
        <v>8473.5678000000007</v>
      </c>
      <c r="L20" s="235">
        <f t="shared" si="3"/>
        <v>8473.5678000000007</v>
      </c>
      <c r="M20" s="227"/>
      <c r="N20" s="393"/>
      <c r="O20" s="227"/>
      <c r="P20" s="39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row>
    <row r="21" spans="1:48" s="354" customFormat="1">
      <c r="A21" s="229" t="s">
        <v>197</v>
      </c>
      <c r="B21" s="230"/>
      <c r="C21" s="231"/>
      <c r="D21" s="232"/>
      <c r="E21" s="233">
        <f t="shared" ref="E21:J21" si="4">(E20*-$M$2)+E20</f>
        <v>0</v>
      </c>
      <c r="F21" s="233">
        <f t="shared" si="4"/>
        <v>1764.5506500000001</v>
      </c>
      <c r="G21" s="233">
        <f t="shared" si="4"/>
        <v>0</v>
      </c>
      <c r="H21" s="233">
        <f t="shared" si="4"/>
        <v>569</v>
      </c>
      <c r="I21" s="233">
        <f t="shared" si="4"/>
        <v>5414.7128499999999</v>
      </c>
      <c r="J21" s="233">
        <f t="shared" si="4"/>
        <v>725.3042999999999</v>
      </c>
      <c r="K21" s="231">
        <f>SUM(E21:J21)</f>
        <v>8473.5678000000007</v>
      </c>
      <c r="L21" s="231"/>
      <c r="M21" s="29"/>
      <c r="N21" s="393"/>
      <c r="O21" s="29"/>
      <c r="P21" s="29"/>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row>
    <row r="22" spans="1:48" ht="7.45" customHeight="1">
      <c r="A22" s="19"/>
      <c r="B22" s="19"/>
      <c r="C22" s="19"/>
      <c r="D22" s="111"/>
      <c r="E22" s="19"/>
      <c r="F22" s="19"/>
      <c r="G22" s="19"/>
      <c r="H22" s="19"/>
      <c r="I22" s="19"/>
      <c r="J22" s="19"/>
      <c r="K22" s="19"/>
      <c r="L22" s="236"/>
      <c r="M22" s="29"/>
      <c r="N22" s="393"/>
      <c r="O22" s="29"/>
      <c r="P22" s="29"/>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row>
    <row r="23" spans="1:48" ht="38.6">
      <c r="A23" s="113" t="s">
        <v>245</v>
      </c>
      <c r="B23" s="1" t="s">
        <v>175</v>
      </c>
      <c r="C23" s="2" t="s">
        <v>176</v>
      </c>
      <c r="D23" s="108" t="s">
        <v>177</v>
      </c>
      <c r="E23" s="107" t="s">
        <v>0</v>
      </c>
      <c r="F23" s="1" t="s">
        <v>1</v>
      </c>
      <c r="G23" s="1" t="s">
        <v>2</v>
      </c>
      <c r="H23" s="1" t="s">
        <v>3</v>
      </c>
      <c r="I23" s="1" t="s">
        <v>4</v>
      </c>
      <c r="J23" s="1" t="s">
        <v>34</v>
      </c>
      <c r="K23" s="1" t="s">
        <v>5</v>
      </c>
      <c r="L23" s="237"/>
      <c r="M23" s="702" t="s">
        <v>55</v>
      </c>
      <c r="N23" s="393"/>
      <c r="O23" s="29"/>
      <c r="P23" s="29"/>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row>
    <row r="24" spans="1:48">
      <c r="A24" s="142" t="s">
        <v>246</v>
      </c>
      <c r="B24" s="123" t="s">
        <v>190</v>
      </c>
      <c r="C24" s="124">
        <f>+'Active Lands PoC'!E32</f>
        <v>0</v>
      </c>
      <c r="D24" s="109">
        <f>+'Active Lands PoC'!F32</f>
        <v>0</v>
      </c>
      <c r="E24" s="124">
        <f>+'Active Lands PoC'!G32</f>
        <v>0</v>
      </c>
      <c r="F24" s="124">
        <f>+'Active Lands PoC'!H32</f>
        <v>0</v>
      </c>
      <c r="G24" s="124">
        <f>+'Active Lands PoC'!I32</f>
        <v>0</v>
      </c>
      <c r="H24" s="124">
        <f>+'Active Lands PoC'!J32</f>
        <v>0</v>
      </c>
      <c r="I24" s="124">
        <f>+'Active Lands PoC'!K32</f>
        <v>0</v>
      </c>
      <c r="J24" s="124">
        <f>+'Active Lands PoC'!L32</f>
        <v>0</v>
      </c>
      <c r="K24" s="138">
        <f t="shared" ref="K24:K34" si="5">SUM(E24:J24)</f>
        <v>0</v>
      </c>
      <c r="L24" s="233">
        <f>(K24*-$M$2)+K24</f>
        <v>0</v>
      </c>
      <c r="M24" s="227"/>
      <c r="N24" s="393"/>
      <c r="O24" s="29"/>
      <c r="P24" s="29"/>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row>
    <row r="25" spans="1:48" s="381" customFormat="1">
      <c r="A25" s="142" t="s">
        <v>247</v>
      </c>
      <c r="B25" s="123" t="s">
        <v>190</v>
      </c>
      <c r="C25" s="124">
        <f>FFI!E40</f>
        <v>212</v>
      </c>
      <c r="D25" s="574">
        <f>FFI!F40</f>
        <v>215</v>
      </c>
      <c r="E25" s="124">
        <f>FFI!G40</f>
        <v>0</v>
      </c>
      <c r="F25" s="124">
        <f>FFI!H40</f>
        <v>0</v>
      </c>
      <c r="G25" s="124">
        <f>FFI!I40</f>
        <v>0</v>
      </c>
      <c r="H25" s="124">
        <f>FFI!J40</f>
        <v>215</v>
      </c>
      <c r="I25" s="124">
        <f>FFI!K40</f>
        <v>0</v>
      </c>
      <c r="J25" s="124">
        <v>0</v>
      </c>
      <c r="K25" s="138">
        <f t="shared" si="5"/>
        <v>215</v>
      </c>
      <c r="L25" s="233">
        <f>(K25*-$M$2)+K25</f>
        <v>215</v>
      </c>
      <c r="M25" s="227">
        <f>+K25-C25</f>
        <v>3</v>
      </c>
      <c r="N25" s="393"/>
      <c r="O25" s="29"/>
      <c r="P25" s="29"/>
    </row>
    <row r="26" spans="1:48">
      <c r="A26" s="142" t="s">
        <v>248</v>
      </c>
      <c r="B26" s="123" t="s">
        <v>190</v>
      </c>
      <c r="C26" s="124">
        <f>FEIS!E40</f>
        <v>75</v>
      </c>
      <c r="D26" s="574">
        <f>FEIS!F40</f>
        <v>75</v>
      </c>
      <c r="E26" s="124">
        <f>FEIS!G40</f>
        <v>0</v>
      </c>
      <c r="F26" s="124">
        <f>(FEIS!H40)</f>
        <v>0</v>
      </c>
      <c r="G26" s="124">
        <f>FEIS!I40</f>
        <v>0</v>
      </c>
      <c r="H26" s="124">
        <f>FEIS!J40</f>
        <v>0</v>
      </c>
      <c r="I26" s="124">
        <f>FEIS!K40</f>
        <v>0</v>
      </c>
      <c r="J26" s="124">
        <f>FEIS!L40</f>
        <v>75</v>
      </c>
      <c r="K26" s="138">
        <f t="shared" si="5"/>
        <v>75</v>
      </c>
      <c r="L26" s="233">
        <f t="shared" ref="L26:L33" si="6">(K26*-$M$2)+K26</f>
        <v>75</v>
      </c>
      <c r="M26" s="227"/>
      <c r="N26" s="393"/>
      <c r="O26" s="29"/>
      <c r="P26" s="29"/>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row>
    <row r="27" spans="1:48">
      <c r="A27" s="142" t="s">
        <v>249</v>
      </c>
      <c r="B27" s="123" t="s">
        <v>190</v>
      </c>
      <c r="C27" s="124">
        <f>+IQCS!M51</f>
        <v>534</v>
      </c>
      <c r="D27" s="574">
        <f>+F27</f>
        <v>500.58495000000005</v>
      </c>
      <c r="E27" s="124">
        <f>IQCS!G40*'Prep%Fuelspercentage.direct'!$C39</f>
        <v>0</v>
      </c>
      <c r="F27" s="124">
        <f>+IQCS!L45</f>
        <v>500.58495000000005</v>
      </c>
      <c r="G27" s="124">
        <f>IQCS!I40*'Prep%Fuelspercentage.direct'!$C39</f>
        <v>0</v>
      </c>
      <c r="H27" s="124">
        <f>IQCS!J40*'Prep%Fuelspercentage.direct'!$C39</f>
        <v>0</v>
      </c>
      <c r="I27" s="124">
        <f>IQCS!K40*'Prep%Fuelspercentage.direct'!$C39</f>
        <v>0</v>
      </c>
      <c r="J27" s="124">
        <f>ROUND((IQCS!L40-IQCS!F43)*'Prep%Fuelspercentage.direct'!$C39,0)</f>
        <v>0</v>
      </c>
      <c r="K27" s="138">
        <f t="shared" si="5"/>
        <v>500.58495000000005</v>
      </c>
      <c r="L27" s="233">
        <f t="shared" si="6"/>
        <v>500.58495000000005</v>
      </c>
      <c r="M27" s="227">
        <f t="shared" ref="M27:M34" si="7">+K27-C27</f>
        <v>-33.415049999999951</v>
      </c>
      <c r="N27" s="393"/>
      <c r="O27" s="29"/>
      <c r="P27" s="29"/>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row>
    <row r="28" spans="1:48">
      <c r="A28" s="142" t="s">
        <v>250</v>
      </c>
      <c r="B28" s="123" t="s">
        <v>190</v>
      </c>
      <c r="C28" s="124">
        <f>IFTDSS!E44</f>
        <v>900</v>
      </c>
      <c r="D28" s="574">
        <f>IFTDSS!F44</f>
        <v>2012</v>
      </c>
      <c r="E28" s="124">
        <f>IFTDSS!G43</f>
        <v>0</v>
      </c>
      <c r="F28" s="124">
        <f>IFTDSS!H43</f>
        <v>0</v>
      </c>
      <c r="G28" s="124">
        <f>IFTDSS!I43</f>
        <v>0</v>
      </c>
      <c r="H28" s="124">
        <f>IFTDSS!J43</f>
        <v>0</v>
      </c>
      <c r="I28" s="124">
        <f>IFTDSS!K43-IFTDSS!B49</f>
        <v>2012</v>
      </c>
      <c r="J28" s="124">
        <f>IFTDSS!L43</f>
        <v>0</v>
      </c>
      <c r="K28" s="138">
        <f t="shared" si="5"/>
        <v>2012</v>
      </c>
      <c r="L28" s="233">
        <f t="shared" si="6"/>
        <v>2012</v>
      </c>
      <c r="M28" s="227">
        <f t="shared" si="7"/>
        <v>1112</v>
      </c>
      <c r="N28" s="393"/>
      <c r="O28" s="29"/>
      <c r="P28" s="29"/>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row>
    <row r="29" spans="1:48" s="381" customFormat="1">
      <c r="A29" s="142" t="s">
        <v>251</v>
      </c>
      <c r="B29" s="182" t="s">
        <v>190</v>
      </c>
      <c r="C29" s="124">
        <f>+INFORM!K47</f>
        <v>0</v>
      </c>
      <c r="D29" s="574">
        <f>+INFORM!J47</f>
        <v>811.09570000000008</v>
      </c>
      <c r="E29" s="124">
        <f>INFORM!G62</f>
        <v>0</v>
      </c>
      <c r="F29" s="124">
        <f>+D29-I29-J29</f>
        <v>764</v>
      </c>
      <c r="G29" s="124">
        <f>INFORM!I62</f>
        <v>0</v>
      </c>
      <c r="H29" s="124">
        <f>INFORM!J62</f>
        <v>0</v>
      </c>
      <c r="I29" s="124">
        <f>+INFORM!K43</f>
        <v>32</v>
      </c>
      <c r="J29" s="124">
        <f>INFORM!L47</f>
        <v>15.095700000000079</v>
      </c>
      <c r="K29" s="138">
        <f>SUM(E29:J29)</f>
        <v>811.09570000000008</v>
      </c>
      <c r="L29" s="233">
        <f>(K29*-$M$2)+K29</f>
        <v>811.09570000000008</v>
      </c>
      <c r="M29" s="227">
        <f t="shared" si="7"/>
        <v>811.09570000000008</v>
      </c>
      <c r="N29" s="393"/>
      <c r="O29" s="29"/>
      <c r="P29" s="29"/>
    </row>
    <row r="30" spans="1:48">
      <c r="A30" s="142" t="s">
        <v>252</v>
      </c>
      <c r="B30" s="123" t="s">
        <v>190</v>
      </c>
      <c r="C30" s="124">
        <f>LANDFIRE!E35</f>
        <v>781</v>
      </c>
      <c r="D30" s="574">
        <f>LANDFIRE!F35</f>
        <v>1779</v>
      </c>
      <c r="E30" s="124">
        <f>LANDFIRE!G34</f>
        <v>0</v>
      </c>
      <c r="F30" s="124">
        <f>LANDFIRE!H34</f>
        <v>0</v>
      </c>
      <c r="G30" s="124">
        <f>LANDFIRE!I34</f>
        <v>0</v>
      </c>
      <c r="H30" s="124">
        <f>LANDFIRE!J34</f>
        <v>0</v>
      </c>
      <c r="I30" s="124">
        <f>LANDFIRE!K34-LANDFIRE!B40</f>
        <v>1779</v>
      </c>
      <c r="J30" s="124">
        <v>0</v>
      </c>
      <c r="K30" s="138">
        <f t="shared" si="5"/>
        <v>1779</v>
      </c>
      <c r="L30" s="233">
        <f t="shared" si="6"/>
        <v>1779</v>
      </c>
      <c r="M30" s="227">
        <f t="shared" si="7"/>
        <v>998</v>
      </c>
      <c r="N30" s="393"/>
      <c r="O30" s="29"/>
      <c r="P30" s="29"/>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row>
    <row r="31" spans="1:48">
      <c r="A31" s="142" t="s">
        <v>253</v>
      </c>
      <c r="B31" s="123" t="s">
        <v>190</v>
      </c>
      <c r="C31" s="124">
        <f>MTBS!E40</f>
        <v>109</v>
      </c>
      <c r="D31" s="574">
        <f>MTBS!F40</f>
        <v>111</v>
      </c>
      <c r="E31" s="124">
        <f>MTBS!G40</f>
        <v>0</v>
      </c>
      <c r="F31" s="124">
        <f>MTBS!H40</f>
        <v>0</v>
      </c>
      <c r="G31" s="124">
        <f>MTBS!I40</f>
        <v>0</v>
      </c>
      <c r="H31" s="124">
        <f>MTBS!J40</f>
        <v>111</v>
      </c>
      <c r="I31" s="124">
        <f>MTBS!K40</f>
        <v>0</v>
      </c>
      <c r="J31" s="124">
        <f>MTBS!L40</f>
        <v>0</v>
      </c>
      <c r="K31" s="138">
        <f t="shared" si="5"/>
        <v>111</v>
      </c>
      <c r="L31" s="233">
        <f t="shared" si="6"/>
        <v>111</v>
      </c>
      <c r="M31" s="227">
        <f t="shared" si="7"/>
        <v>2</v>
      </c>
      <c r="N31" s="393"/>
      <c r="O31" s="29"/>
      <c r="P31" s="29"/>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row>
    <row r="32" spans="1:48">
      <c r="A32" s="142" t="s">
        <v>254</v>
      </c>
      <c r="B32" s="123" t="s">
        <v>190</v>
      </c>
      <c r="C32" s="124">
        <f>NFPORS!E49</f>
        <v>1850</v>
      </c>
      <c r="D32" s="574">
        <f>NFPORS!F49</f>
        <v>1336</v>
      </c>
      <c r="E32" s="124">
        <f>NFPORS!G48</f>
        <v>0</v>
      </c>
      <c r="F32" s="124">
        <f>NFPORS!H48</f>
        <v>0</v>
      </c>
      <c r="G32" s="124">
        <f>NFPORS!I48</f>
        <v>0</v>
      </c>
      <c r="H32" s="124">
        <f>NFPORS!J48</f>
        <v>0</v>
      </c>
      <c r="I32" s="124">
        <f>NFPORS!K48-NFPORS!B54</f>
        <v>1336</v>
      </c>
      <c r="J32" s="124">
        <f>NFPORS!L48</f>
        <v>0</v>
      </c>
      <c r="K32" s="138">
        <f t="shared" si="5"/>
        <v>1336</v>
      </c>
      <c r="L32" s="233">
        <f t="shared" si="6"/>
        <v>1336</v>
      </c>
      <c r="M32" s="227">
        <f t="shared" si="7"/>
        <v>-514</v>
      </c>
      <c r="N32" s="393"/>
      <c r="O32" s="29"/>
      <c r="P32" s="29"/>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row>
    <row r="33" spans="1:19" s="381" customFormat="1">
      <c r="A33" s="573" t="s">
        <v>255</v>
      </c>
      <c r="B33" s="381" t="s">
        <v>190</v>
      </c>
      <c r="C33" s="287">
        <f>+'WFIT Data Management'!K54</f>
        <v>0</v>
      </c>
      <c r="D33" s="574">
        <f>+'WFIT Data Management'!J46</f>
        <v>76.610250000000008</v>
      </c>
      <c r="E33" s="287">
        <f>+'WFIT Data Management'!G61</f>
        <v>0</v>
      </c>
      <c r="F33" s="287">
        <f>+'WFIT Data Management'!H61</f>
        <v>0</v>
      </c>
      <c r="G33" s="287">
        <f>+'WFIT Data Management'!I61</f>
        <v>0</v>
      </c>
      <c r="H33" s="287">
        <f>+'WFIT Data Management'!J61</f>
        <v>0</v>
      </c>
      <c r="I33" s="287">
        <f>+'WFIT Data Management'!J46</f>
        <v>76.610250000000008</v>
      </c>
      <c r="J33" s="287">
        <f>+'WFIT Data Management'!L61</f>
        <v>0</v>
      </c>
      <c r="K33" s="138">
        <f>SUM(E33:J33)</f>
        <v>76.610250000000008</v>
      </c>
      <c r="L33" s="233">
        <f t="shared" si="6"/>
        <v>76.610250000000008</v>
      </c>
      <c r="M33" s="227">
        <f t="shared" si="7"/>
        <v>76.610250000000008</v>
      </c>
      <c r="N33" s="393"/>
      <c r="O33" s="29"/>
      <c r="P33" s="29"/>
    </row>
    <row r="34" spans="1:19" s="381" customFormat="1">
      <c r="A34" s="142" t="s">
        <v>256</v>
      </c>
      <c r="B34" s="123" t="s">
        <v>190</v>
      </c>
      <c r="C34" s="124">
        <f>+'WFIT Staff'!K50</f>
        <v>252</v>
      </c>
      <c r="D34" s="574">
        <f>+I34</f>
        <v>225.3699</v>
      </c>
      <c r="E34" s="124">
        <f>'WFIT Staff'!G36*'Prep%Fuelspercentage.direct'!$B39</f>
        <v>0</v>
      </c>
      <c r="F34" s="124">
        <f>'WFIT Staff'!H36*'Prep%Fuelspercentage.direct'!$B39</f>
        <v>0</v>
      </c>
      <c r="G34" s="124">
        <f>'WFIT Staff'!I36*'Prep%Fuelspercentage.direct'!$B39</f>
        <v>0</v>
      </c>
      <c r="H34" s="124">
        <f>'WFIT Staff'!J36*'Prep%Fuelspercentage.direct'!$B39</f>
        <v>0</v>
      </c>
      <c r="I34" s="273">
        <f>+'WFIT Staff'!J42</f>
        <v>225.3699</v>
      </c>
      <c r="J34" s="124">
        <f>'WFIT Staff'!L36</f>
        <v>0</v>
      </c>
      <c r="K34" s="138">
        <f t="shared" si="5"/>
        <v>225.3699</v>
      </c>
      <c r="L34" s="233">
        <f>(K34*-$M$2)+K34</f>
        <v>225.3699</v>
      </c>
      <c r="M34" s="227">
        <f t="shared" si="7"/>
        <v>-26.630099999999999</v>
      </c>
      <c r="N34" s="393"/>
      <c r="O34" s="29"/>
      <c r="P34" s="29"/>
    </row>
    <row r="35" spans="1:19">
      <c r="A35" s="140" t="s">
        <v>206</v>
      </c>
      <c r="B35" s="119"/>
      <c r="C35" s="125">
        <f t="shared" ref="C35:L35" si="8">SUM(C24:C34)</f>
        <v>4713</v>
      </c>
      <c r="D35" s="141">
        <f t="shared" si="8"/>
        <v>7141.6607999999997</v>
      </c>
      <c r="E35" s="125">
        <f t="shared" si="8"/>
        <v>0</v>
      </c>
      <c r="F35" s="125">
        <f t="shared" si="8"/>
        <v>1264.5849499999999</v>
      </c>
      <c r="G35" s="125">
        <f t="shared" si="8"/>
        <v>0</v>
      </c>
      <c r="H35" s="125">
        <f t="shared" si="8"/>
        <v>326</v>
      </c>
      <c r="I35" s="125">
        <f t="shared" si="8"/>
        <v>5460.9801499999994</v>
      </c>
      <c r="J35" s="125">
        <f t="shared" si="8"/>
        <v>90.095700000000079</v>
      </c>
      <c r="K35" s="137">
        <f t="shared" si="8"/>
        <v>7141.6607999999997</v>
      </c>
      <c r="L35" s="235">
        <f t="shared" si="8"/>
        <v>7141.6607999999997</v>
      </c>
      <c r="M35" s="227"/>
      <c r="N35" s="393"/>
      <c r="O35" s="29"/>
      <c r="P35" s="29"/>
      <c r="Q35" s="381"/>
    </row>
    <row r="36" spans="1:19">
      <c r="A36" s="229" t="s">
        <v>197</v>
      </c>
      <c r="B36" s="230"/>
      <c r="C36" s="231"/>
      <c r="D36" s="232"/>
      <c r="E36" s="233">
        <f t="shared" ref="E36:J36" si="9">(E35*-$M$2)+E35</f>
        <v>0</v>
      </c>
      <c r="F36" s="233">
        <f t="shared" si="9"/>
        <v>1264.5849499999999</v>
      </c>
      <c r="G36" s="233">
        <f t="shared" si="9"/>
        <v>0</v>
      </c>
      <c r="H36" s="233">
        <f t="shared" si="9"/>
        <v>326</v>
      </c>
      <c r="I36" s="233">
        <f t="shared" si="9"/>
        <v>5460.9801499999994</v>
      </c>
      <c r="J36" s="233">
        <f t="shared" si="9"/>
        <v>90.095700000000079</v>
      </c>
      <c r="K36" s="231">
        <f>SUM(E36:J36)</f>
        <v>7141.6607999999997</v>
      </c>
      <c r="L36" s="231"/>
      <c r="M36" s="29"/>
      <c r="N36" s="393"/>
      <c r="O36" s="29"/>
      <c r="P36" s="29"/>
      <c r="Q36" s="381"/>
    </row>
    <row r="37" spans="1:19" ht="7.45" customHeight="1">
      <c r="A37" s="19"/>
      <c r="B37" s="19"/>
      <c r="C37" s="19"/>
      <c r="D37" s="111"/>
      <c r="E37" s="19"/>
      <c r="F37" s="19"/>
      <c r="G37" s="19"/>
      <c r="H37" s="19"/>
      <c r="I37" s="19"/>
      <c r="J37" s="19"/>
      <c r="K37" s="19"/>
      <c r="L37" s="236"/>
      <c r="M37" s="29"/>
      <c r="N37" s="393"/>
      <c r="O37" s="29"/>
      <c r="P37" s="29"/>
      <c r="Q37" s="381"/>
    </row>
    <row r="38" spans="1:19" ht="29.5" customHeight="1">
      <c r="A38" s="289" t="s">
        <v>257</v>
      </c>
      <c r="B38" s="381" t="s">
        <v>33</v>
      </c>
      <c r="C38" s="578">
        <f>+C35</f>
        <v>4713</v>
      </c>
      <c r="D38" s="548"/>
      <c r="E38" s="381"/>
      <c r="F38" s="381"/>
      <c r="G38" s="381"/>
      <c r="H38" s="381"/>
      <c r="I38" s="289" t="s">
        <v>258</v>
      </c>
      <c r="J38" s="381" t="s">
        <v>33</v>
      </c>
      <c r="K38" s="290">
        <f>+K35</f>
        <v>7141.6607999999997</v>
      </c>
      <c r="L38" s="565"/>
      <c r="M38" s="701">
        <f>+K38-C38</f>
        <v>2428.6607999999997</v>
      </c>
      <c r="N38" s="701"/>
      <c r="O38" s="565"/>
      <c r="P38" s="29"/>
      <c r="Q38" s="381"/>
    </row>
    <row r="39" spans="1:19">
      <c r="A39" s="381"/>
      <c r="B39" s="381" t="s">
        <v>32</v>
      </c>
      <c r="C39" s="579">
        <f>+C20-C4</f>
        <v>7916</v>
      </c>
      <c r="D39" s="548"/>
      <c r="E39" s="576"/>
      <c r="F39" s="576"/>
      <c r="G39" s="576"/>
      <c r="H39" s="381"/>
      <c r="I39" s="381"/>
      <c r="J39" s="381" t="s">
        <v>32</v>
      </c>
      <c r="K39" s="525">
        <f>+K20-K4</f>
        <v>8473.5678000000007</v>
      </c>
      <c r="L39" s="381"/>
      <c r="M39" s="701">
        <f>+K39-C39</f>
        <v>557.56780000000072</v>
      </c>
      <c r="O39" s="381"/>
      <c r="P39" s="381"/>
      <c r="Q39" s="381"/>
    </row>
    <row r="40" spans="1:19" ht="15.6" thickBot="1">
      <c r="A40" s="381"/>
      <c r="B40" s="381" t="s">
        <v>5</v>
      </c>
      <c r="C40" s="580">
        <f>+C38+C39</f>
        <v>12629</v>
      </c>
      <c r="D40" s="548"/>
      <c r="E40" s="381"/>
      <c r="F40" s="381"/>
      <c r="G40" s="381"/>
      <c r="H40" s="381"/>
      <c r="I40" s="381"/>
      <c r="J40" s="381" t="s">
        <v>5</v>
      </c>
      <c r="K40" s="577">
        <f>+K38+K39</f>
        <v>15615.2286</v>
      </c>
      <c r="L40" s="381"/>
      <c r="M40" s="227">
        <f>+K40-C40</f>
        <v>2986.2286000000004</v>
      </c>
      <c r="O40" s="381"/>
      <c r="P40" s="381"/>
      <c r="Q40" s="381"/>
    </row>
    <row r="41" spans="1:19" s="381" customFormat="1" ht="15.6" thickTop="1">
      <c r="A41" s="569"/>
      <c r="B41" s="29"/>
      <c r="C41" s="548"/>
      <c r="D41" s="182"/>
      <c r="J41" s="541"/>
      <c r="K41" s="548"/>
      <c r="L41" s="182"/>
      <c r="M41" s="227"/>
      <c r="N41" s="252"/>
    </row>
    <row r="42" spans="1:19" ht="17.100000000000001">
      <c r="A42" s="381"/>
      <c r="B42" s="381"/>
      <c r="C42" s="549"/>
      <c r="D42" s="381"/>
      <c r="E42" s="381"/>
      <c r="F42" s="381"/>
      <c r="G42" s="381"/>
      <c r="H42" s="381"/>
      <c r="I42" s="381"/>
      <c r="J42" s="541"/>
      <c r="K42" s="549"/>
      <c r="L42" s="182"/>
      <c r="M42" s="465"/>
      <c r="O42" s="381"/>
      <c r="P42" s="381"/>
      <c r="Q42" s="381"/>
    </row>
    <row r="43" spans="1:19">
      <c r="A43" s="403" t="s">
        <v>259</v>
      </c>
      <c r="B43" s="403" t="s">
        <v>259</v>
      </c>
      <c r="C43" s="227"/>
      <c r="D43" s="381"/>
      <c r="E43" s="381"/>
      <c r="F43" s="403" t="s">
        <v>259</v>
      </c>
      <c r="G43" s="381"/>
      <c r="H43" s="381"/>
      <c r="I43" s="381"/>
      <c r="J43" s="381"/>
      <c r="K43" s="256"/>
      <c r="L43" s="381"/>
      <c r="M43" s="381"/>
      <c r="O43" s="381"/>
      <c r="P43" s="381"/>
      <c r="Q43" s="381"/>
    </row>
    <row r="44" spans="1:19" s="381" customFormat="1">
      <c r="A44" s="434"/>
      <c r="C44" s="227"/>
      <c r="D44" s="394"/>
      <c r="I44" s="687"/>
      <c r="K44" s="29"/>
      <c r="L44" s="29"/>
      <c r="N44" s="252"/>
    </row>
    <row r="46" spans="1:19" s="381" customFormat="1" ht="103.95">
      <c r="B46" s="448" t="s">
        <v>260</v>
      </c>
      <c r="C46" s="444" t="s">
        <v>261</v>
      </c>
      <c r="D46" s="445" t="s">
        <v>262</v>
      </c>
      <c r="E46" s="446" t="s">
        <v>263</v>
      </c>
      <c r="F46" s="444" t="s">
        <v>264</v>
      </c>
      <c r="G46" s="445" t="s">
        <v>265</v>
      </c>
      <c r="H46" s="467" t="s">
        <v>266</v>
      </c>
      <c r="I46" s="446" t="s">
        <v>267</v>
      </c>
      <c r="J46" s="444" t="s">
        <v>268</v>
      </c>
      <c r="K46" s="550" t="s">
        <v>269</v>
      </c>
      <c r="L46" s="445" t="s">
        <v>270</v>
      </c>
      <c r="M46" s="467" t="s">
        <v>271</v>
      </c>
      <c r="N46" s="446" t="s">
        <v>271</v>
      </c>
      <c r="O46" s="444" t="s">
        <v>272</v>
      </c>
      <c r="P46" s="446" t="s">
        <v>1360</v>
      </c>
      <c r="Q46" s="550"/>
    </row>
    <row r="47" spans="1:19" ht="17.100000000000001">
      <c r="A47" s="289" t="s">
        <v>273</v>
      </c>
      <c r="B47" s="449">
        <f>SUM(B48:B49)</f>
        <v>9790</v>
      </c>
      <c r="C47" s="440">
        <f>SUM(C48:C49)</f>
        <v>8321</v>
      </c>
      <c r="D47" s="442">
        <f>SUM(D48:D49)</f>
        <v>8320</v>
      </c>
      <c r="E47" s="447">
        <f>SUM(E48:E49)</f>
        <v>9790</v>
      </c>
      <c r="F47" s="440">
        <f>+C40</f>
        <v>12629</v>
      </c>
      <c r="G47" s="442">
        <f>SUM(G48:G49)</f>
        <v>11451</v>
      </c>
      <c r="H47" s="468">
        <f>SUM(H48:H49)</f>
        <v>8453</v>
      </c>
      <c r="I47" s="447">
        <f>SUM(I48:I49)</f>
        <v>8973</v>
      </c>
      <c r="J47" s="440">
        <f>SUM(J48:J49)</f>
        <v>10083</v>
      </c>
      <c r="K47" s="551">
        <f>SUM(K48:K49)</f>
        <v>9908</v>
      </c>
      <c r="L47" s="442">
        <f t="shared" ref="L47:N47" si="10">SUM(L48:L49)</f>
        <v>15380</v>
      </c>
      <c r="M47" s="468">
        <f t="shared" si="10"/>
        <v>12125</v>
      </c>
      <c r="N47" s="447">
        <f t="shared" si="10"/>
        <v>12629</v>
      </c>
      <c r="O47" s="440">
        <f>SUM(O48:O49)</f>
        <v>15816</v>
      </c>
      <c r="P47" s="447">
        <f>SUM(P48:P49)</f>
        <v>15642.6608</v>
      </c>
      <c r="Q47" s="551"/>
      <c r="S47" s="381"/>
    </row>
    <row r="48" spans="1:19">
      <c r="A48" s="289" t="s">
        <v>33</v>
      </c>
      <c r="B48" s="451">
        <v>4078</v>
      </c>
      <c r="C48" s="441">
        <v>3466</v>
      </c>
      <c r="D48" s="443">
        <f>2997+114</f>
        <v>3111</v>
      </c>
      <c r="E48" s="450">
        <v>4078</v>
      </c>
      <c r="F48" s="441">
        <f>+C38</f>
        <v>4713</v>
      </c>
      <c r="G48" s="443">
        <v>3979</v>
      </c>
      <c r="H48" s="469">
        <v>3819</v>
      </c>
      <c r="I48" s="450">
        <f>4078+325</f>
        <v>4403</v>
      </c>
      <c r="J48" s="441">
        <v>4200</v>
      </c>
      <c r="K48" s="552">
        <f>4200+117</f>
        <v>4317</v>
      </c>
      <c r="L48" s="443">
        <v>7518</v>
      </c>
      <c r="M48" s="469">
        <v>4733</v>
      </c>
      <c r="N48" s="450">
        <v>4713</v>
      </c>
      <c r="O48" s="441">
        <v>7217</v>
      </c>
      <c r="P48" s="450">
        <v>7141.6607999999997</v>
      </c>
      <c r="Q48" s="552"/>
      <c r="S48" s="381"/>
    </row>
    <row r="49" spans="1:17">
      <c r="A49" s="289" t="s">
        <v>32</v>
      </c>
      <c r="B49" s="451">
        <f>6912-1000-200</f>
        <v>5712</v>
      </c>
      <c r="C49" s="441">
        <v>4855</v>
      </c>
      <c r="D49" s="443">
        <f>4351+264+94+500</f>
        <v>5209</v>
      </c>
      <c r="E49" s="450">
        <f>6912-1000-200</f>
        <v>5712</v>
      </c>
      <c r="F49" s="441">
        <f>+C39</f>
        <v>7916</v>
      </c>
      <c r="G49" s="443">
        <v>7472</v>
      </c>
      <c r="H49" s="469">
        <v>4634</v>
      </c>
      <c r="I49" s="450">
        <v>4570</v>
      </c>
      <c r="J49" s="441">
        <v>5883</v>
      </c>
      <c r="K49" s="552">
        <v>5591</v>
      </c>
      <c r="L49" s="443">
        <v>7862</v>
      </c>
      <c r="M49" s="469">
        <v>7392</v>
      </c>
      <c r="N49" s="450">
        <v>7916</v>
      </c>
      <c r="O49" s="441">
        <v>8599</v>
      </c>
      <c r="P49" s="450">
        <v>8501</v>
      </c>
      <c r="Q49" s="552"/>
    </row>
    <row r="50" spans="1:17">
      <c r="A50" s="381"/>
      <c r="B50" s="381"/>
      <c r="C50" s="381"/>
      <c r="D50" s="381"/>
      <c r="E50" s="381"/>
      <c r="F50" s="381"/>
      <c r="G50" s="381"/>
      <c r="H50" s="381"/>
      <c r="I50" s="381"/>
      <c r="J50" s="381"/>
      <c r="K50" s="381"/>
      <c r="L50" s="381"/>
      <c r="M50" s="381"/>
      <c r="O50" s="381"/>
      <c r="P50" s="381"/>
      <c r="Q50" s="381"/>
    </row>
  </sheetData>
  <pageMargins left="0.7" right="0.7" top="0.75" bottom="0.75" header="0.3" footer="0.3"/>
  <pageSetup scale="72" fitToHeight="0" orientation="landscape" r:id="rId1"/>
  <headerFooter>
    <oddHeader xml:space="preserve">&amp;CDRAFT NOT FOR DISTRIBUTION, INTERNAL USE ONLY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2" tint="-0.249977111117893"/>
    <pageSetUpPr fitToPage="1"/>
  </sheetPr>
  <dimension ref="A1:N75"/>
  <sheetViews>
    <sheetView workbookViewId="0">
      <selection sqref="A1:N1"/>
    </sheetView>
  </sheetViews>
  <sheetFormatPr defaultColWidth="9.140625" defaultRowHeight="14.85"/>
  <cols>
    <col min="1" max="1" width="39.5703125" style="381" customWidth="1"/>
    <col min="2" max="2" width="6.28515625" style="381" bestFit="1" customWidth="1"/>
    <col min="3" max="3" width="7.7109375" style="415" customWidth="1"/>
    <col min="4" max="4" width="11.85546875" style="381" bestFit="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ustomWidth="1"/>
    <col min="14" max="14" width="29.85546875" style="381" customWidth="1"/>
    <col min="15" max="16384" width="9.140625" style="381"/>
  </cols>
  <sheetData>
    <row r="1" spans="1:14" ht="15.6">
      <c r="A1" s="745" t="s">
        <v>227</v>
      </c>
      <c r="B1" s="745"/>
      <c r="C1" s="745"/>
      <c r="D1" s="745"/>
      <c r="E1" s="745"/>
      <c r="F1" s="745"/>
      <c r="G1" s="745"/>
      <c r="H1" s="745"/>
      <c r="I1" s="745"/>
      <c r="J1" s="745"/>
      <c r="K1" s="745"/>
      <c r="L1" s="745"/>
      <c r="M1" s="745"/>
      <c r="N1" s="745"/>
    </row>
    <row r="2" spans="1:14">
      <c r="A2" s="65" t="s">
        <v>243</v>
      </c>
      <c r="C2" s="687"/>
    </row>
    <row r="3" spans="1:14">
      <c r="A3" s="68" t="s">
        <v>1294</v>
      </c>
      <c r="C3" s="687"/>
      <c r="F3" s="554" t="s">
        <v>275</v>
      </c>
    </row>
    <row r="4" spans="1:14">
      <c r="A4" s="68" t="s">
        <v>1277</v>
      </c>
      <c r="B4" s="31"/>
      <c r="C4" s="32"/>
      <c r="D4" s="31"/>
      <c r="E4" s="3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v>0</v>
      </c>
      <c r="G7" s="310">
        <v>0</v>
      </c>
      <c r="H7" s="310">
        <v>0</v>
      </c>
      <c r="I7" s="310">
        <v>0</v>
      </c>
      <c r="J7" s="310">
        <v>0</v>
      </c>
      <c r="K7" s="310">
        <v>0</v>
      </c>
      <c r="L7" s="310">
        <v>0</v>
      </c>
      <c r="M7" s="311">
        <v>0</v>
      </c>
      <c r="N7" s="32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f>SUM(G18:M18)</f>
        <v>0</v>
      </c>
      <c r="G18" s="310">
        <v>0</v>
      </c>
      <c r="H18" s="310">
        <v>0</v>
      </c>
      <c r="I18" s="310">
        <v>0</v>
      </c>
      <c r="J18" s="310">
        <v>0</v>
      </c>
      <c r="K18" s="310">
        <v>0</v>
      </c>
      <c r="L18" s="310">
        <v>0</v>
      </c>
      <c r="M18" s="311">
        <v>0</v>
      </c>
      <c r="N18" s="327"/>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358"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3">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358"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v>0</v>
      </c>
      <c r="F24" s="309">
        <f t="shared" ref="F24:F36" si="3">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29.7">
      <c r="A28" s="264" t="s">
        <v>304</v>
      </c>
      <c r="B28" s="36"/>
      <c r="C28" s="44">
        <v>251</v>
      </c>
      <c r="D28" s="45"/>
      <c r="E28" s="263">
        <v>33</v>
      </c>
      <c r="F28" s="309">
        <f t="shared" si="3"/>
        <v>34</v>
      </c>
      <c r="G28" s="310">
        <v>0</v>
      </c>
      <c r="H28" s="310">
        <v>34</v>
      </c>
      <c r="I28" s="310">
        <v>0</v>
      </c>
      <c r="J28" s="310">
        <v>0</v>
      </c>
      <c r="K28" s="310">
        <v>0</v>
      </c>
      <c r="L28" s="310">
        <v>0</v>
      </c>
      <c r="M28" s="311">
        <v>0</v>
      </c>
      <c r="N28" s="325" t="s">
        <v>1295</v>
      </c>
    </row>
    <row r="29" spans="1:14">
      <c r="A29" s="264" t="s">
        <v>428</v>
      </c>
      <c r="B29" s="36"/>
      <c r="C29" s="44">
        <v>251</v>
      </c>
      <c r="D29" s="45"/>
      <c r="E29" s="263">
        <v>0</v>
      </c>
      <c r="F29" s="309">
        <f t="shared" si="3"/>
        <v>0</v>
      </c>
      <c r="G29" s="310"/>
      <c r="H29" s="310">
        <v>0</v>
      </c>
      <c r="I29" s="310"/>
      <c r="J29" s="310">
        <v>0</v>
      </c>
      <c r="K29" s="310">
        <v>0</v>
      </c>
      <c r="L29" s="310">
        <v>0</v>
      </c>
      <c r="M29" s="311">
        <v>0</v>
      </c>
      <c r="N29" s="258"/>
    </row>
    <row r="30" spans="1:14">
      <c r="A30" s="264" t="s">
        <v>313</v>
      </c>
      <c r="B30" s="36"/>
      <c r="C30" s="44">
        <v>252</v>
      </c>
      <c r="D30" s="45"/>
      <c r="E30" s="263">
        <v>0</v>
      </c>
      <c r="F30" s="309">
        <f t="shared" si="3"/>
        <v>0</v>
      </c>
      <c r="G30" s="310">
        <v>0</v>
      </c>
      <c r="H30" s="310">
        <v>0</v>
      </c>
      <c r="I30" s="310">
        <v>0</v>
      </c>
      <c r="J30" s="310">
        <v>0</v>
      </c>
      <c r="K30" s="310">
        <v>0</v>
      </c>
      <c r="L30" s="310">
        <v>0</v>
      </c>
      <c r="M30" s="311">
        <v>0</v>
      </c>
      <c r="N30" s="355"/>
    </row>
    <row r="31" spans="1:14">
      <c r="A31" s="264" t="s">
        <v>314</v>
      </c>
      <c r="B31" s="36"/>
      <c r="C31" s="44">
        <v>252</v>
      </c>
      <c r="D31" s="45"/>
      <c r="E31" s="263">
        <v>0</v>
      </c>
      <c r="F31" s="309">
        <f t="shared" si="3"/>
        <v>0</v>
      </c>
      <c r="G31" s="310">
        <v>0</v>
      </c>
      <c r="H31" s="310">
        <v>0</v>
      </c>
      <c r="I31" s="310">
        <v>0</v>
      </c>
      <c r="J31" s="310">
        <v>0</v>
      </c>
      <c r="K31" s="310">
        <v>0</v>
      </c>
      <c r="L31" s="310">
        <v>0</v>
      </c>
      <c r="M31" s="311">
        <v>0</v>
      </c>
      <c r="N31" s="355"/>
    </row>
    <row r="32" spans="1:14">
      <c r="A32" s="264" t="s">
        <v>315</v>
      </c>
      <c r="B32" s="36"/>
      <c r="C32" s="44">
        <v>253</v>
      </c>
      <c r="D32" s="264"/>
      <c r="E32" s="263">
        <v>0</v>
      </c>
      <c r="F32" s="309">
        <f t="shared" si="3"/>
        <v>0</v>
      </c>
      <c r="G32" s="310">
        <v>0</v>
      </c>
      <c r="H32" s="310">
        <v>0</v>
      </c>
      <c r="I32" s="310">
        <v>0</v>
      </c>
      <c r="J32" s="310">
        <v>0</v>
      </c>
      <c r="K32" s="310">
        <v>0</v>
      </c>
      <c r="L32" s="310">
        <v>0</v>
      </c>
      <c r="M32" s="311">
        <v>0</v>
      </c>
      <c r="N32" s="355"/>
    </row>
    <row r="33" spans="1:14">
      <c r="A33" s="264" t="s">
        <v>316</v>
      </c>
      <c r="B33" s="36"/>
      <c r="C33" s="44">
        <v>255</v>
      </c>
      <c r="D33" s="264"/>
      <c r="E33" s="263">
        <v>0</v>
      </c>
      <c r="F33" s="309">
        <f t="shared" si="3"/>
        <v>0</v>
      </c>
      <c r="G33" s="310">
        <v>0</v>
      </c>
      <c r="H33" s="310">
        <v>0</v>
      </c>
      <c r="I33" s="310">
        <v>0</v>
      </c>
      <c r="J33" s="310">
        <v>0</v>
      </c>
      <c r="K33" s="310">
        <v>0</v>
      </c>
      <c r="L33" s="310">
        <v>0</v>
      </c>
      <c r="M33" s="311">
        <v>0</v>
      </c>
      <c r="N33" s="355"/>
    </row>
    <row r="34" spans="1:14">
      <c r="A34" s="264" t="s">
        <v>317</v>
      </c>
      <c r="B34" s="36"/>
      <c r="C34" s="44">
        <v>256</v>
      </c>
      <c r="D34" s="264"/>
      <c r="E34" s="263">
        <v>0</v>
      </c>
      <c r="F34" s="309">
        <f t="shared" si="3"/>
        <v>0</v>
      </c>
      <c r="G34" s="310">
        <v>0</v>
      </c>
      <c r="H34" s="310">
        <v>0</v>
      </c>
      <c r="I34" s="310">
        <v>0</v>
      </c>
      <c r="J34" s="310">
        <v>0</v>
      </c>
      <c r="K34" s="310">
        <v>0</v>
      </c>
      <c r="L34" s="310">
        <v>0</v>
      </c>
      <c r="M34" s="311">
        <v>0</v>
      </c>
      <c r="N34" s="355"/>
    </row>
    <row r="35" spans="1:14">
      <c r="A35" s="264" t="s">
        <v>318</v>
      </c>
      <c r="B35" s="36"/>
      <c r="C35" s="44">
        <v>257</v>
      </c>
      <c r="D35" s="264"/>
      <c r="E35" s="263">
        <v>11</v>
      </c>
      <c r="F35" s="309">
        <f t="shared" si="3"/>
        <v>12</v>
      </c>
      <c r="G35" s="310">
        <v>0</v>
      </c>
      <c r="H35" s="310">
        <v>12</v>
      </c>
      <c r="I35" s="310">
        <v>0</v>
      </c>
      <c r="J35" s="310">
        <v>0</v>
      </c>
      <c r="K35" s="310">
        <v>0</v>
      </c>
      <c r="L35" s="310">
        <v>0</v>
      </c>
      <c r="M35" s="311">
        <v>0</v>
      </c>
      <c r="N35" s="325" t="s">
        <v>1296</v>
      </c>
    </row>
    <row r="36" spans="1:14">
      <c r="A36" s="264" t="s">
        <v>319</v>
      </c>
      <c r="B36" s="36"/>
      <c r="C36" s="44" t="s">
        <v>320</v>
      </c>
      <c r="D36" s="264"/>
      <c r="E36" s="263">
        <v>0</v>
      </c>
      <c r="F36" s="309">
        <f t="shared" si="3"/>
        <v>0</v>
      </c>
      <c r="G36" s="310">
        <v>0</v>
      </c>
      <c r="H36" s="310">
        <v>0</v>
      </c>
      <c r="I36" s="310">
        <v>0</v>
      </c>
      <c r="J36" s="310">
        <v>0</v>
      </c>
      <c r="K36" s="310">
        <v>0</v>
      </c>
      <c r="L36" s="310">
        <v>0</v>
      </c>
      <c r="M36" s="311">
        <v>0</v>
      </c>
      <c r="N36" s="355"/>
    </row>
    <row r="37" spans="1:14">
      <c r="A37" s="265" t="s">
        <v>321</v>
      </c>
      <c r="B37" s="36"/>
      <c r="C37" s="266" t="s">
        <v>322</v>
      </c>
      <c r="D37" s="246"/>
      <c r="E37" s="263">
        <v>0</v>
      </c>
      <c r="F37" s="309">
        <f>SUM(G37:M37)</f>
        <v>0</v>
      </c>
      <c r="G37" s="310">
        <v>0</v>
      </c>
      <c r="H37" s="310">
        <v>0</v>
      </c>
      <c r="I37" s="310">
        <v>0</v>
      </c>
      <c r="J37" s="310">
        <v>0</v>
      </c>
      <c r="K37" s="310">
        <v>0</v>
      </c>
      <c r="L37" s="310">
        <v>0</v>
      </c>
      <c r="M37" s="311">
        <v>0</v>
      </c>
      <c r="N37" s="355"/>
    </row>
    <row r="38" spans="1:14">
      <c r="A38" s="265" t="s">
        <v>323</v>
      </c>
      <c r="B38" s="390"/>
      <c r="C38" s="266" t="s">
        <v>324</v>
      </c>
      <c r="D38" s="265"/>
      <c r="E38" s="318">
        <v>0</v>
      </c>
      <c r="F38" s="309">
        <f>SUM(G38:M38)</f>
        <v>0</v>
      </c>
      <c r="G38" s="165">
        <v>0</v>
      </c>
      <c r="H38" s="165">
        <v>0</v>
      </c>
      <c r="I38" s="165">
        <v>0</v>
      </c>
      <c r="J38" s="165">
        <v>0</v>
      </c>
      <c r="K38" s="165">
        <v>0</v>
      </c>
      <c r="L38" s="165">
        <v>0</v>
      </c>
      <c r="M38" s="166">
        <v>0</v>
      </c>
      <c r="N38" s="325"/>
    </row>
    <row r="39" spans="1:14">
      <c r="A39" s="40" t="s">
        <v>326</v>
      </c>
      <c r="B39" s="265"/>
      <c r="C39" s="266"/>
      <c r="D39" s="247"/>
      <c r="E39" s="242">
        <f t="shared" ref="E39:M39" si="4">SUM(E24:E38)</f>
        <v>44</v>
      </c>
      <c r="F39" s="243">
        <f t="shared" si="4"/>
        <v>46</v>
      </c>
      <c r="G39" s="243">
        <f t="shared" si="4"/>
        <v>0</v>
      </c>
      <c r="H39" s="243">
        <f t="shared" si="4"/>
        <v>46</v>
      </c>
      <c r="I39" s="243">
        <f t="shared" si="4"/>
        <v>0</v>
      </c>
      <c r="J39" s="243">
        <f t="shared" si="4"/>
        <v>0</v>
      </c>
      <c r="K39" s="243">
        <f t="shared" si="4"/>
        <v>0</v>
      </c>
      <c r="L39" s="243">
        <f t="shared" si="4"/>
        <v>0</v>
      </c>
      <c r="M39" s="243">
        <f t="shared" si="4"/>
        <v>0</v>
      </c>
      <c r="N39" s="355"/>
    </row>
    <row r="40" spans="1:14">
      <c r="A40" s="40" t="s">
        <v>327</v>
      </c>
      <c r="B40" s="51"/>
      <c r="C40" s="149"/>
      <c r="D40" s="247"/>
      <c r="E40" s="244"/>
      <c r="F40" s="245">
        <f>SUM(G40:L40)</f>
        <v>0</v>
      </c>
      <c r="G40" s="245"/>
      <c r="H40" s="245">
        <v>0</v>
      </c>
      <c r="I40" s="245"/>
      <c r="J40" s="245"/>
      <c r="K40" s="245"/>
      <c r="L40" s="245"/>
      <c r="M40" s="245"/>
      <c r="N40" s="325"/>
    </row>
    <row r="41" spans="1:14">
      <c r="A41" s="40" t="s">
        <v>328</v>
      </c>
      <c r="B41" s="46"/>
      <c r="C41" s="47"/>
      <c r="D41" s="48">
        <f>D39+D22+D16</f>
        <v>0</v>
      </c>
      <c r="E41" s="242">
        <f>E39+E22+E16-E40</f>
        <v>44</v>
      </c>
      <c r="F41" s="17">
        <f t="shared" ref="F41:M41" si="5">F39+F22+F16-F40</f>
        <v>46</v>
      </c>
      <c r="G41" s="17">
        <f t="shared" si="5"/>
        <v>0</v>
      </c>
      <c r="H41" s="17">
        <f t="shared" si="5"/>
        <v>46</v>
      </c>
      <c r="I41" s="17">
        <f t="shared" si="5"/>
        <v>0</v>
      </c>
      <c r="J41" s="17">
        <f t="shared" si="5"/>
        <v>0</v>
      </c>
      <c r="K41" s="17">
        <f t="shared" si="5"/>
        <v>0</v>
      </c>
      <c r="L41" s="17">
        <f t="shared" si="5"/>
        <v>0</v>
      </c>
      <c r="M41" s="17">
        <f t="shared" si="5"/>
        <v>0</v>
      </c>
      <c r="N41" s="353"/>
    </row>
    <row r="44" spans="1:14" ht="15.6" thickBot="1">
      <c r="A44" s="603"/>
      <c r="B44" s="603"/>
      <c r="C44" s="604"/>
      <c r="D44" s="603"/>
      <c r="E44" s="603"/>
      <c r="F44" s="603"/>
      <c r="G44" s="603"/>
      <c r="H44" s="603"/>
      <c r="I44" s="603"/>
      <c r="J44" s="603"/>
      <c r="K44" s="603"/>
      <c r="L44" s="603"/>
      <c r="M44" s="603"/>
      <c r="N44" s="605"/>
    </row>
    <row r="45" spans="1:14" ht="15.6">
      <c r="A45" s="855" t="s">
        <v>330</v>
      </c>
      <c r="B45" s="856"/>
      <c r="C45" s="856"/>
      <c r="D45" s="856"/>
      <c r="E45" s="856"/>
      <c r="F45" s="856"/>
      <c r="G45" s="606"/>
      <c r="H45" s="603"/>
      <c r="I45" s="603"/>
      <c r="J45" s="603"/>
      <c r="K45" s="603"/>
      <c r="L45" s="603"/>
      <c r="M45" s="603"/>
      <c r="N45" s="605"/>
    </row>
    <row r="46" spans="1:14" ht="15.6">
      <c r="A46" s="857"/>
      <c r="B46" s="858"/>
      <c r="C46" s="858"/>
      <c r="D46" s="858"/>
      <c r="E46" s="858"/>
      <c r="F46" s="858"/>
      <c r="G46" s="607"/>
      <c r="H46" s="603"/>
      <c r="I46" s="603"/>
      <c r="J46" s="603"/>
      <c r="K46" s="603"/>
      <c r="L46" s="603"/>
      <c r="M46" s="603"/>
      <c r="N46" s="605"/>
    </row>
    <row r="47" spans="1:14">
      <c r="A47" s="859" t="s">
        <v>331</v>
      </c>
      <c r="B47" s="860"/>
      <c r="C47" s="608"/>
      <c r="D47" s="608"/>
      <c r="E47" s="608"/>
      <c r="F47" s="608"/>
      <c r="G47" s="607"/>
      <c r="H47" s="603"/>
      <c r="I47" s="603"/>
      <c r="J47" s="603"/>
      <c r="K47" s="603"/>
      <c r="L47" s="603"/>
      <c r="M47" s="603"/>
      <c r="N47" s="605"/>
    </row>
    <row r="48" spans="1:14">
      <c r="A48" s="609" t="s">
        <v>480</v>
      </c>
      <c r="B48" s="610">
        <f>E41</f>
        <v>44</v>
      </c>
      <c r="C48" s="611"/>
      <c r="D48" s="612"/>
      <c r="E48" s="612"/>
      <c r="F48" s="612"/>
      <c r="G48" s="607"/>
      <c r="H48" s="603"/>
      <c r="I48" s="603"/>
      <c r="J48" s="603"/>
      <c r="K48" s="603"/>
      <c r="L48" s="603"/>
      <c r="M48" s="603"/>
      <c r="N48" s="605"/>
    </row>
    <row r="49" spans="1:14">
      <c r="A49" s="613" t="s">
        <v>481</v>
      </c>
      <c r="B49" s="614">
        <f>F41</f>
        <v>46</v>
      </c>
      <c r="C49" s="611"/>
      <c r="D49" s="612"/>
      <c r="E49" s="612"/>
      <c r="F49" s="612"/>
      <c r="G49" s="607"/>
      <c r="H49" s="603"/>
      <c r="I49" s="603"/>
      <c r="J49" s="603"/>
      <c r="K49" s="603"/>
      <c r="L49" s="603"/>
      <c r="M49" s="603"/>
      <c r="N49" s="605"/>
    </row>
    <row r="50" spans="1:14">
      <c r="A50" s="615" t="s">
        <v>334</v>
      </c>
      <c r="B50" s="616">
        <f>B49-B48</f>
        <v>2</v>
      </c>
      <c r="C50" s="611"/>
      <c r="D50" s="612"/>
      <c r="E50" s="612"/>
      <c r="F50" s="612"/>
      <c r="G50" s="607"/>
      <c r="H50" s="603"/>
      <c r="I50" s="603"/>
      <c r="J50" s="603"/>
      <c r="K50" s="603"/>
      <c r="L50" s="603"/>
      <c r="M50" s="603"/>
      <c r="N50" s="605"/>
    </row>
    <row r="51" spans="1:14">
      <c r="A51" s="615" t="s">
        <v>335</v>
      </c>
      <c r="B51" s="617">
        <f>B50/B48</f>
        <v>4.5454545454545456E-2</v>
      </c>
      <c r="C51" s="611"/>
      <c r="D51" s="612"/>
      <c r="E51" s="612"/>
      <c r="F51" s="612"/>
      <c r="G51" s="607"/>
      <c r="H51" s="603"/>
      <c r="I51" s="603"/>
      <c r="J51" s="603"/>
      <c r="K51" s="603"/>
      <c r="L51" s="603"/>
      <c r="M51" s="603"/>
      <c r="N51" s="605"/>
    </row>
    <row r="52" spans="1:14">
      <c r="A52" s="618"/>
      <c r="B52" s="612"/>
      <c r="C52" s="619"/>
      <c r="D52" s="612"/>
      <c r="E52" s="612"/>
      <c r="F52" s="612"/>
      <c r="G52" s="607"/>
      <c r="H52" s="603"/>
      <c r="I52" s="603"/>
      <c r="J52" s="603"/>
      <c r="K52" s="603"/>
      <c r="L52" s="603"/>
      <c r="M52" s="603"/>
      <c r="N52" s="605"/>
    </row>
    <row r="53" spans="1:14">
      <c r="A53" s="842" t="s">
        <v>336</v>
      </c>
      <c r="B53" s="843"/>
      <c r="C53" s="843"/>
      <c r="D53" s="843"/>
      <c r="E53" s="843"/>
      <c r="F53" s="843"/>
      <c r="G53" s="607"/>
      <c r="H53" s="603"/>
      <c r="I53" s="603"/>
      <c r="J53" s="603"/>
      <c r="K53" s="603"/>
      <c r="L53" s="603"/>
      <c r="M53" s="603"/>
      <c r="N53" s="605"/>
    </row>
    <row r="54" spans="1:14" ht="39.75" customHeight="1">
      <c r="A54" s="848" t="s">
        <v>1297</v>
      </c>
      <c r="B54" s="849"/>
      <c r="C54" s="849"/>
      <c r="D54" s="849"/>
      <c r="E54" s="849"/>
      <c r="F54" s="850"/>
      <c r="G54" s="607"/>
      <c r="H54" s="603"/>
      <c r="I54" s="603"/>
      <c r="J54" s="603"/>
      <c r="K54" s="603"/>
      <c r="L54" s="603"/>
      <c r="M54" s="603"/>
      <c r="N54" s="605"/>
    </row>
    <row r="55" spans="1:14">
      <c r="A55" s="620"/>
      <c r="B55" s="621"/>
      <c r="C55" s="621"/>
      <c r="D55" s="621"/>
      <c r="E55" s="621"/>
      <c r="F55" s="621"/>
      <c r="G55" s="607"/>
      <c r="H55" s="603"/>
      <c r="I55" s="603"/>
      <c r="J55" s="603"/>
      <c r="K55" s="603"/>
      <c r="L55" s="603"/>
      <c r="M55" s="603"/>
      <c r="N55" s="605"/>
    </row>
    <row r="56" spans="1:14">
      <c r="A56" s="622" t="s">
        <v>337</v>
      </c>
      <c r="B56" s="612"/>
      <c r="C56" s="619"/>
      <c r="D56" s="612"/>
      <c r="E56" s="612"/>
      <c r="F56" s="612"/>
      <c r="G56" s="607"/>
      <c r="H56" s="603"/>
      <c r="I56" s="603"/>
      <c r="J56" s="603"/>
      <c r="K56" s="603"/>
      <c r="L56" s="603"/>
      <c r="M56" s="603"/>
      <c r="N56" s="605"/>
    </row>
    <row r="57" spans="1:14" ht="41.6" customHeight="1">
      <c r="A57" s="848" t="s">
        <v>1298</v>
      </c>
      <c r="B57" s="849"/>
      <c r="C57" s="849"/>
      <c r="D57" s="849"/>
      <c r="E57" s="849"/>
      <c r="F57" s="850"/>
      <c r="G57" s="607"/>
      <c r="H57" s="603"/>
      <c r="I57" s="603"/>
      <c r="J57" s="603"/>
      <c r="K57" s="603"/>
      <c r="L57" s="603"/>
      <c r="M57" s="603"/>
      <c r="N57" s="605"/>
    </row>
    <row r="58" spans="1:14">
      <c r="A58" s="618"/>
      <c r="B58" s="612"/>
      <c r="C58" s="619"/>
      <c r="D58" s="612"/>
      <c r="E58" s="612"/>
      <c r="F58" s="612"/>
      <c r="G58" s="607"/>
      <c r="H58" s="603"/>
      <c r="I58" s="603"/>
      <c r="J58" s="603"/>
      <c r="K58" s="603"/>
      <c r="L58" s="603"/>
      <c r="M58" s="603"/>
      <c r="N58" s="605"/>
    </row>
    <row r="59" spans="1:14">
      <c r="A59" s="851" t="s">
        <v>365</v>
      </c>
      <c r="B59" s="852"/>
      <c r="C59" s="852"/>
      <c r="D59" s="852"/>
      <c r="E59" s="852"/>
      <c r="F59" s="852"/>
      <c r="G59" s="607"/>
      <c r="H59" s="603"/>
      <c r="I59" s="603"/>
      <c r="J59" s="603"/>
      <c r="K59" s="603"/>
      <c r="L59" s="603"/>
      <c r="M59" s="603"/>
      <c r="N59" s="605"/>
    </row>
    <row r="60" spans="1:14">
      <c r="A60" s="853" t="s">
        <v>339</v>
      </c>
      <c r="B60" s="854"/>
      <c r="C60" s="854"/>
      <c r="D60" s="854"/>
      <c r="E60" s="854"/>
      <c r="F60" s="854"/>
      <c r="G60" s="607"/>
      <c r="H60" s="603"/>
      <c r="I60" s="603"/>
      <c r="J60" s="603"/>
      <c r="K60" s="603"/>
      <c r="L60" s="603"/>
      <c r="M60" s="603"/>
      <c r="N60" s="605"/>
    </row>
    <row r="61" spans="1:14" ht="41.6" customHeight="1">
      <c r="A61" s="839" t="s">
        <v>1299</v>
      </c>
      <c r="B61" s="840"/>
      <c r="C61" s="840"/>
      <c r="D61" s="840"/>
      <c r="E61" s="840"/>
      <c r="F61" s="841"/>
      <c r="G61" s="607"/>
      <c r="H61" s="603"/>
      <c r="I61" s="603"/>
      <c r="J61" s="603"/>
      <c r="K61" s="603"/>
      <c r="L61" s="603"/>
      <c r="M61" s="603"/>
      <c r="N61" s="605"/>
    </row>
    <row r="62" spans="1:14">
      <c r="A62" s="622"/>
      <c r="B62" s="612"/>
      <c r="C62" s="619"/>
      <c r="D62" s="612"/>
      <c r="E62" s="612"/>
      <c r="F62" s="612"/>
      <c r="G62" s="607"/>
      <c r="H62" s="603"/>
      <c r="I62" s="603"/>
      <c r="J62" s="603"/>
      <c r="K62" s="603"/>
      <c r="L62" s="603"/>
      <c r="M62" s="603"/>
      <c r="N62" s="605"/>
    </row>
    <row r="63" spans="1:14">
      <c r="A63" s="842" t="s">
        <v>340</v>
      </c>
      <c r="B63" s="843"/>
      <c r="C63" s="843"/>
      <c r="D63" s="843"/>
      <c r="E63" s="843"/>
      <c r="F63" s="612"/>
      <c r="G63" s="607"/>
      <c r="H63" s="603"/>
      <c r="I63" s="603"/>
      <c r="J63" s="603"/>
      <c r="K63" s="603"/>
      <c r="L63" s="603"/>
      <c r="M63" s="603"/>
      <c r="N63" s="605"/>
    </row>
    <row r="64" spans="1:14">
      <c r="A64" s="839" t="s">
        <v>1292</v>
      </c>
      <c r="B64" s="840"/>
      <c r="C64" s="840"/>
      <c r="D64" s="840"/>
      <c r="E64" s="840"/>
      <c r="F64" s="841"/>
      <c r="G64" s="607"/>
      <c r="H64" s="603"/>
      <c r="I64" s="603"/>
      <c r="J64" s="603"/>
      <c r="K64" s="603"/>
      <c r="L64" s="603"/>
      <c r="M64" s="603"/>
      <c r="N64" s="605"/>
    </row>
    <row r="65" spans="1:14">
      <c r="A65" s="618"/>
      <c r="B65" s="612"/>
      <c r="C65" s="619"/>
      <c r="D65" s="612"/>
      <c r="E65" s="612"/>
      <c r="F65" s="612"/>
      <c r="G65" s="607"/>
      <c r="H65" s="603"/>
      <c r="I65" s="603"/>
      <c r="J65" s="603"/>
      <c r="K65" s="603"/>
      <c r="L65" s="603"/>
      <c r="M65" s="603"/>
      <c r="N65" s="605"/>
    </row>
    <row r="66" spans="1:14">
      <c r="A66" s="622" t="s">
        <v>953</v>
      </c>
      <c r="B66" s="612"/>
      <c r="C66" s="619"/>
      <c r="D66" s="612"/>
      <c r="E66" s="612"/>
      <c r="F66" s="612"/>
      <c r="G66" s="607"/>
      <c r="H66" s="603"/>
      <c r="I66" s="603"/>
      <c r="J66" s="603"/>
      <c r="K66" s="603"/>
      <c r="L66" s="603"/>
      <c r="M66" s="603"/>
      <c r="N66" s="605"/>
    </row>
    <row r="67" spans="1:14">
      <c r="A67" s="623" t="s">
        <v>342</v>
      </c>
      <c r="B67" s="612"/>
      <c r="C67" s="619"/>
      <c r="D67" s="612"/>
      <c r="E67" s="612"/>
      <c r="F67" s="612"/>
      <c r="G67" s="607"/>
      <c r="H67" s="603"/>
      <c r="I67" s="603"/>
      <c r="J67" s="603"/>
      <c r="K67" s="603"/>
      <c r="L67" s="603"/>
      <c r="M67" s="603"/>
      <c r="N67" s="605"/>
    </row>
    <row r="68" spans="1:14" ht="23.95" customHeight="1">
      <c r="A68" s="844" t="s">
        <v>343</v>
      </c>
      <c r="B68" s="845"/>
      <c r="C68" s="845"/>
      <c r="D68" s="845"/>
      <c r="E68" s="845"/>
      <c r="F68" s="845"/>
      <c r="G68" s="607"/>
      <c r="H68" s="603"/>
      <c r="I68" s="603"/>
      <c r="J68" s="603"/>
      <c r="K68" s="603"/>
      <c r="L68" s="603"/>
      <c r="M68" s="603"/>
      <c r="N68" s="605"/>
    </row>
    <row r="69" spans="1:14" ht="41.2" customHeight="1">
      <c r="A69" s="839" t="s">
        <v>1283</v>
      </c>
      <c r="B69" s="840"/>
      <c r="C69" s="840"/>
      <c r="D69" s="840"/>
      <c r="E69" s="840"/>
      <c r="F69" s="841"/>
      <c r="G69" s="607"/>
      <c r="H69" s="603"/>
      <c r="I69" s="603"/>
      <c r="J69" s="603"/>
      <c r="K69" s="603"/>
      <c r="L69" s="603"/>
      <c r="M69" s="603"/>
      <c r="N69" s="605"/>
    </row>
    <row r="70" spans="1:14">
      <c r="A70" s="846"/>
      <c r="B70" s="847"/>
      <c r="C70" s="847"/>
      <c r="D70" s="847"/>
      <c r="E70" s="847"/>
      <c r="F70" s="847"/>
      <c r="G70" s="607"/>
      <c r="H70" s="603"/>
      <c r="I70" s="603"/>
      <c r="J70" s="603"/>
      <c r="K70" s="603"/>
      <c r="L70" s="603"/>
      <c r="M70" s="603"/>
      <c r="N70" s="605"/>
    </row>
    <row r="71" spans="1:14">
      <c r="A71" s="623" t="s">
        <v>344</v>
      </c>
      <c r="B71" s="612"/>
      <c r="C71" s="619"/>
      <c r="D71" s="612"/>
      <c r="E71" s="612"/>
      <c r="F71" s="612"/>
      <c r="G71" s="607"/>
      <c r="H71" s="603"/>
      <c r="I71" s="603"/>
      <c r="J71" s="603"/>
      <c r="K71" s="603"/>
      <c r="L71" s="603"/>
      <c r="M71" s="603"/>
      <c r="N71" s="605"/>
    </row>
    <row r="72" spans="1:14" ht="23.95" customHeight="1">
      <c r="A72" s="837" t="s">
        <v>345</v>
      </c>
      <c r="B72" s="838"/>
      <c r="C72" s="838"/>
      <c r="D72" s="838"/>
      <c r="E72" s="838"/>
      <c r="F72" s="838"/>
      <c r="G72" s="607"/>
      <c r="H72" s="603"/>
      <c r="I72" s="603"/>
      <c r="J72" s="603"/>
      <c r="K72" s="603"/>
      <c r="L72" s="603"/>
      <c r="M72" s="603"/>
      <c r="N72" s="605"/>
    </row>
    <row r="73" spans="1:14">
      <c r="A73" s="839" t="s">
        <v>679</v>
      </c>
      <c r="B73" s="840"/>
      <c r="C73" s="840"/>
      <c r="D73" s="840"/>
      <c r="E73" s="840"/>
      <c r="F73" s="841"/>
      <c r="G73" s="607"/>
      <c r="H73" s="603"/>
      <c r="I73" s="603"/>
      <c r="J73" s="603"/>
      <c r="K73" s="603"/>
      <c r="L73" s="603"/>
      <c r="M73" s="603"/>
      <c r="N73" s="605"/>
    </row>
    <row r="74" spans="1:14" ht="15.6" thickBot="1">
      <c r="A74" s="624"/>
      <c r="B74" s="625"/>
      <c r="C74" s="626"/>
      <c r="D74" s="625"/>
      <c r="E74" s="625"/>
      <c r="F74" s="625"/>
      <c r="G74" s="627"/>
      <c r="H74" s="603"/>
      <c r="I74" s="603"/>
      <c r="J74" s="603"/>
      <c r="K74" s="603"/>
      <c r="L74" s="603"/>
      <c r="M74" s="603"/>
      <c r="N74" s="605"/>
    </row>
    <row r="75" spans="1:14">
      <c r="A75" s="603"/>
      <c r="B75" s="603"/>
      <c r="C75" s="604"/>
      <c r="D75" s="603"/>
      <c r="E75" s="603"/>
      <c r="F75" s="603"/>
      <c r="G75" s="603"/>
      <c r="H75" s="603"/>
      <c r="I75" s="603"/>
      <c r="J75" s="603"/>
      <c r="K75" s="603"/>
      <c r="L75" s="603"/>
      <c r="M75" s="603"/>
      <c r="N75" s="605"/>
    </row>
  </sheetData>
  <mergeCells count="17">
    <mergeCell ref="A1:N1"/>
    <mergeCell ref="A45:F45"/>
    <mergeCell ref="A46:F46"/>
    <mergeCell ref="A47:B47"/>
    <mergeCell ref="A53:F53"/>
    <mergeCell ref="A54:F54"/>
    <mergeCell ref="A57:F57"/>
    <mergeCell ref="A59:F59"/>
    <mergeCell ref="A60:F60"/>
    <mergeCell ref="A61:F61"/>
    <mergeCell ref="A72:F72"/>
    <mergeCell ref="A73:F73"/>
    <mergeCell ref="A63:E63"/>
    <mergeCell ref="A64:F64"/>
    <mergeCell ref="A68:F68"/>
    <mergeCell ref="A69:F69"/>
    <mergeCell ref="A70:F70"/>
  </mergeCells>
  <printOptions horizontalCentered="1"/>
  <pageMargins left="0.2" right="0.2" top="0.75" bottom="0.75" header="0.3" footer="0.3"/>
  <pageSetup scale="76"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2" tint="-0.249977111117893"/>
    <pageSetUpPr fitToPage="1"/>
  </sheetPr>
  <dimension ref="A1:N76"/>
  <sheetViews>
    <sheetView workbookViewId="0">
      <selection sqref="A1:N1"/>
    </sheetView>
  </sheetViews>
  <sheetFormatPr defaultColWidth="9.140625" defaultRowHeight="14.85"/>
  <cols>
    <col min="1" max="1" width="39.5703125" style="381" customWidth="1"/>
    <col min="2" max="2" width="6.28515625" style="381" bestFit="1" customWidth="1"/>
    <col min="3" max="3" width="7.7109375" style="415" customWidth="1"/>
    <col min="4" max="4" width="11.85546875" style="381" bestFit="1" customWidth="1"/>
    <col min="5" max="5" width="10.7109375" style="381" customWidth="1"/>
    <col min="6" max="6" width="11" style="381" customWidth="1"/>
    <col min="7" max="7" width="9.5703125" style="381" customWidth="1"/>
    <col min="8" max="8" width="8.42578125" style="381" customWidth="1"/>
    <col min="9" max="10" width="7.140625" style="381" customWidth="1"/>
    <col min="11" max="11" width="7.7109375" style="381" customWidth="1"/>
    <col min="12" max="12" width="9.7109375" style="381" customWidth="1"/>
    <col min="13" max="13" width="9.140625" style="381" customWidth="1"/>
    <col min="14" max="14" width="46" style="381" customWidth="1"/>
    <col min="15" max="16384" width="9.140625" style="381"/>
  </cols>
  <sheetData>
    <row r="1" spans="1:14" ht="15.6">
      <c r="A1" s="745" t="s">
        <v>227</v>
      </c>
      <c r="B1" s="745"/>
      <c r="C1" s="745"/>
      <c r="D1" s="745"/>
      <c r="E1" s="745"/>
      <c r="F1" s="745"/>
      <c r="G1" s="745"/>
      <c r="H1" s="745"/>
      <c r="I1" s="745"/>
      <c r="J1" s="745"/>
      <c r="K1" s="745"/>
      <c r="L1" s="745"/>
      <c r="M1" s="745"/>
      <c r="N1" s="745"/>
    </row>
    <row r="2" spans="1:14">
      <c r="A2" s="65" t="s">
        <v>244</v>
      </c>
      <c r="C2" s="687"/>
    </row>
    <row r="3" spans="1:14">
      <c r="A3" s="68" t="s">
        <v>1294</v>
      </c>
      <c r="C3" s="687"/>
      <c r="F3" s="554" t="s">
        <v>275</v>
      </c>
    </row>
    <row r="4" spans="1:14">
      <c r="A4" s="68" t="s">
        <v>1277</v>
      </c>
      <c r="B4" s="31"/>
      <c r="C4" s="32"/>
      <c r="D4" s="31"/>
      <c r="E4" s="3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69" t="s">
        <v>285</v>
      </c>
      <c r="B6" s="70"/>
      <c r="C6" s="71"/>
      <c r="D6" s="70"/>
      <c r="E6" s="70"/>
      <c r="F6" s="72"/>
      <c r="G6" s="72"/>
      <c r="H6" s="72"/>
      <c r="I6" s="72"/>
      <c r="J6" s="72"/>
      <c r="K6" s="72"/>
      <c r="L6" s="72"/>
      <c r="M6" s="72"/>
      <c r="N6" s="72"/>
    </row>
    <row r="7" spans="1:14">
      <c r="A7" s="36" t="s">
        <v>286</v>
      </c>
      <c r="B7" s="36"/>
      <c r="C7" s="37" t="s">
        <v>287</v>
      </c>
      <c r="D7" s="38"/>
      <c r="E7" s="263">
        <v>0</v>
      </c>
      <c r="F7" s="309">
        <v>0</v>
      </c>
      <c r="G7" s="310">
        <v>0</v>
      </c>
      <c r="H7" s="310">
        <v>0</v>
      </c>
      <c r="I7" s="310">
        <v>0</v>
      </c>
      <c r="J7" s="310">
        <v>0</v>
      </c>
      <c r="K7" s="310">
        <v>0</v>
      </c>
      <c r="L7" s="310">
        <v>0</v>
      </c>
      <c r="M7" s="311">
        <v>0</v>
      </c>
      <c r="N7" s="32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5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5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55"/>
    </row>
    <row r="13" spans="1:14">
      <c r="A13" s="36" t="s">
        <v>286</v>
      </c>
      <c r="B13" s="264"/>
      <c r="C13" s="37" t="s">
        <v>287</v>
      </c>
      <c r="D13" s="39"/>
      <c r="E13" s="263">
        <v>0</v>
      </c>
      <c r="F13" s="309">
        <f t="shared" si="0"/>
        <v>0</v>
      </c>
      <c r="G13" s="310">
        <v>0</v>
      </c>
      <c r="H13" s="310">
        <v>0</v>
      </c>
      <c r="I13" s="310">
        <v>0</v>
      </c>
      <c r="J13" s="310">
        <v>0</v>
      </c>
      <c r="K13" s="310">
        <v>0</v>
      </c>
      <c r="L13" s="310">
        <v>0</v>
      </c>
      <c r="M13" s="311">
        <v>0</v>
      </c>
      <c r="N13" s="355"/>
    </row>
    <row r="14" spans="1:14">
      <c r="A14" s="36" t="s">
        <v>286</v>
      </c>
      <c r="B14" s="264"/>
      <c r="C14" s="37" t="s">
        <v>287</v>
      </c>
      <c r="D14" s="39"/>
      <c r="E14" s="263">
        <v>0</v>
      </c>
      <c r="F14" s="309">
        <f t="shared" si="0"/>
        <v>0</v>
      </c>
      <c r="G14" s="310">
        <v>0</v>
      </c>
      <c r="H14" s="310">
        <v>0</v>
      </c>
      <c r="I14" s="310">
        <v>0</v>
      </c>
      <c r="J14" s="310">
        <v>0</v>
      </c>
      <c r="K14" s="310">
        <v>0</v>
      </c>
      <c r="L14" s="310">
        <v>0</v>
      </c>
      <c r="M14" s="311">
        <v>0</v>
      </c>
      <c r="N14" s="355"/>
    </row>
    <row r="15" spans="1:14">
      <c r="A15" s="36" t="s">
        <v>286</v>
      </c>
      <c r="B15" s="265"/>
      <c r="C15" s="37" t="s">
        <v>287</v>
      </c>
      <c r="D15" s="39"/>
      <c r="E15" s="263">
        <v>0</v>
      </c>
      <c r="F15" s="309">
        <f t="shared" si="0"/>
        <v>0</v>
      </c>
      <c r="G15" s="310">
        <v>0</v>
      </c>
      <c r="H15" s="310">
        <v>0</v>
      </c>
      <c r="I15" s="310">
        <v>0</v>
      </c>
      <c r="J15" s="310">
        <v>0</v>
      </c>
      <c r="K15" s="310">
        <v>0</v>
      </c>
      <c r="L15" s="310">
        <v>0</v>
      </c>
      <c r="M15" s="311">
        <v>0</v>
      </c>
      <c r="N15" s="355"/>
    </row>
    <row r="16" spans="1:14">
      <c r="A16" s="40" t="s">
        <v>288</v>
      </c>
      <c r="B16" s="265"/>
      <c r="C16" s="266"/>
      <c r="D16" s="41">
        <f t="shared" ref="D16:M16" si="1">SUM(D7:D15)</f>
        <v>0</v>
      </c>
      <c r="E16" s="42">
        <v>0</v>
      </c>
      <c r="F16" s="43">
        <f t="shared" si="1"/>
        <v>0</v>
      </c>
      <c r="G16" s="43">
        <f t="shared" si="1"/>
        <v>0</v>
      </c>
      <c r="H16" s="43">
        <f t="shared" si="1"/>
        <v>0</v>
      </c>
      <c r="I16" s="43">
        <f t="shared" si="1"/>
        <v>0</v>
      </c>
      <c r="J16" s="43">
        <f t="shared" si="1"/>
        <v>0</v>
      </c>
      <c r="K16" s="43">
        <f t="shared" si="1"/>
        <v>0</v>
      </c>
      <c r="L16" s="43">
        <f t="shared" si="1"/>
        <v>0</v>
      </c>
      <c r="M16" s="43">
        <f t="shared" si="1"/>
        <v>0</v>
      </c>
      <c r="N16" s="355"/>
    </row>
    <row r="17" spans="1:14">
      <c r="A17" s="69" t="s">
        <v>289</v>
      </c>
      <c r="B17" s="70"/>
      <c r="C17" s="71"/>
      <c r="D17" s="70"/>
      <c r="E17" s="70"/>
      <c r="F17" s="72"/>
      <c r="G17" s="72"/>
      <c r="H17" s="72"/>
      <c r="I17" s="72"/>
      <c r="J17" s="72"/>
      <c r="K17" s="72"/>
      <c r="L17" s="72"/>
      <c r="M17" s="72"/>
      <c r="N17" s="72"/>
    </row>
    <row r="18" spans="1:14">
      <c r="A18" s="264" t="s">
        <v>355</v>
      </c>
      <c r="B18" s="264"/>
      <c r="C18" s="44">
        <v>253</v>
      </c>
      <c r="D18" s="45"/>
      <c r="E18" s="263">
        <v>0</v>
      </c>
      <c r="F18" s="357">
        <f>SUM(G18:M18)</f>
        <v>0</v>
      </c>
      <c r="G18" s="310">
        <v>0</v>
      </c>
      <c r="H18" s="310">
        <v>0</v>
      </c>
      <c r="I18" s="310">
        <v>0</v>
      </c>
      <c r="J18" s="310">
        <v>0</v>
      </c>
      <c r="K18" s="310">
        <v>0</v>
      </c>
      <c r="L18" s="310">
        <v>0</v>
      </c>
      <c r="M18" s="311">
        <v>0</v>
      </c>
      <c r="N18" s="327"/>
    </row>
    <row r="19" spans="1:14">
      <c r="A19" s="264" t="s">
        <v>355</v>
      </c>
      <c r="B19" s="264"/>
      <c r="C19" s="44">
        <v>253</v>
      </c>
      <c r="D19" s="45"/>
      <c r="E19" s="263">
        <v>0</v>
      </c>
      <c r="F19" s="357">
        <f>SUM(G19:M19)</f>
        <v>0</v>
      </c>
      <c r="G19" s="310">
        <v>0</v>
      </c>
      <c r="H19" s="310">
        <v>0</v>
      </c>
      <c r="I19" s="310">
        <v>0</v>
      </c>
      <c r="J19" s="310">
        <v>0</v>
      </c>
      <c r="K19" s="310">
        <v>0</v>
      </c>
      <c r="L19" s="310">
        <v>0</v>
      </c>
      <c r="M19" s="311">
        <v>0</v>
      </c>
      <c r="N19" s="326"/>
    </row>
    <row r="20" spans="1:14">
      <c r="A20" s="264" t="s">
        <v>355</v>
      </c>
      <c r="B20" s="264"/>
      <c r="C20" s="44">
        <v>253</v>
      </c>
      <c r="D20" s="267"/>
      <c r="E20" s="263">
        <v>0</v>
      </c>
      <c r="F20" s="357">
        <f>SUM(G20:M20)</f>
        <v>0</v>
      </c>
      <c r="G20" s="310">
        <v>0</v>
      </c>
      <c r="H20" s="310">
        <v>0</v>
      </c>
      <c r="I20" s="310">
        <v>0</v>
      </c>
      <c r="J20" s="310">
        <v>0</v>
      </c>
      <c r="K20" s="310">
        <v>0</v>
      </c>
      <c r="L20" s="310">
        <v>0</v>
      </c>
      <c r="M20" s="311">
        <v>0</v>
      </c>
      <c r="N20" s="355"/>
    </row>
    <row r="21" spans="1:14" s="358" customFormat="1">
      <c r="A21" s="264" t="s">
        <v>355</v>
      </c>
      <c r="B21" s="264"/>
      <c r="C21" s="44">
        <v>253</v>
      </c>
      <c r="D21" s="267"/>
      <c r="E21" s="263">
        <v>0</v>
      </c>
      <c r="F21" s="357">
        <f>SUM(G21:M21)</f>
        <v>0</v>
      </c>
      <c r="G21" s="310">
        <v>0</v>
      </c>
      <c r="H21" s="310">
        <v>0</v>
      </c>
      <c r="I21" s="310">
        <v>0</v>
      </c>
      <c r="J21" s="310">
        <v>0</v>
      </c>
      <c r="K21" s="310">
        <v>0</v>
      </c>
      <c r="L21" s="310">
        <v>0</v>
      </c>
      <c r="M21" s="311">
        <v>0</v>
      </c>
      <c r="N21" s="326"/>
    </row>
    <row r="22" spans="1:14">
      <c r="A22" s="40" t="s">
        <v>294</v>
      </c>
      <c r="B22" s="265"/>
      <c r="C22" s="266"/>
      <c r="D22" s="267">
        <f>SUM(D18:D21)</f>
        <v>0</v>
      </c>
      <c r="E22" s="43">
        <f>SUM(E18:E21)</f>
        <v>0</v>
      </c>
      <c r="F22" s="43">
        <f>SUM(F18:F21)</f>
        <v>0</v>
      </c>
      <c r="G22" s="43">
        <f t="shared" ref="G22:M22" si="2">SUM(G18:G21)</f>
        <v>0</v>
      </c>
      <c r="H22" s="43">
        <f t="shared" si="2"/>
        <v>0</v>
      </c>
      <c r="I22" s="43">
        <f t="shared" si="2"/>
        <v>0</v>
      </c>
      <c r="J22" s="43">
        <f t="shared" si="2"/>
        <v>0</v>
      </c>
      <c r="K22" s="43">
        <f t="shared" si="2"/>
        <v>0</v>
      </c>
      <c r="L22" s="43">
        <f t="shared" si="2"/>
        <v>0</v>
      </c>
      <c r="M22" s="43">
        <f t="shared" si="2"/>
        <v>0</v>
      </c>
      <c r="N22" s="355"/>
    </row>
    <row r="23" spans="1:14" s="358" customFormat="1">
      <c r="A23" s="127" t="s">
        <v>295</v>
      </c>
      <c r="B23" s="128"/>
      <c r="C23" s="128"/>
      <c r="D23" s="128"/>
      <c r="E23" s="89"/>
      <c r="F23" s="89"/>
      <c r="G23" s="89"/>
      <c r="H23" s="89"/>
      <c r="I23" s="89"/>
      <c r="J23" s="89"/>
      <c r="K23" s="89"/>
      <c r="L23" s="89"/>
      <c r="M23" s="89"/>
      <c r="N23" s="130"/>
    </row>
    <row r="24" spans="1:14" ht="15.05" customHeight="1">
      <c r="A24" s="264" t="s">
        <v>296</v>
      </c>
      <c r="B24" s="36"/>
      <c r="C24" s="37" t="s">
        <v>297</v>
      </c>
      <c r="D24" s="38">
        <v>0</v>
      </c>
      <c r="E24" s="263">
        <v>0</v>
      </c>
      <c r="F24" s="309">
        <f t="shared" ref="F24:F36" si="3">SUM(G24:M24)</f>
        <v>0</v>
      </c>
      <c r="G24" s="310">
        <v>0</v>
      </c>
      <c r="H24" s="310">
        <v>0</v>
      </c>
      <c r="I24" s="310">
        <v>0</v>
      </c>
      <c r="J24" s="310">
        <v>0</v>
      </c>
      <c r="K24" s="310">
        <v>0</v>
      </c>
      <c r="L24" s="310">
        <v>0</v>
      </c>
      <c r="M24" s="311">
        <v>0</v>
      </c>
      <c r="N24" s="325"/>
    </row>
    <row r="25" spans="1:14">
      <c r="A25" s="264" t="s">
        <v>298</v>
      </c>
      <c r="B25" s="36"/>
      <c r="C25" s="44" t="s">
        <v>299</v>
      </c>
      <c r="D25" s="45"/>
      <c r="E25" s="263">
        <v>0</v>
      </c>
      <c r="F25" s="309">
        <f t="shared" si="3"/>
        <v>0</v>
      </c>
      <c r="G25" s="310">
        <v>0</v>
      </c>
      <c r="H25" s="310">
        <v>0</v>
      </c>
      <c r="I25" s="310">
        <v>0</v>
      </c>
      <c r="J25" s="310">
        <v>0</v>
      </c>
      <c r="K25" s="310">
        <v>0</v>
      </c>
      <c r="L25" s="310">
        <v>0</v>
      </c>
      <c r="M25" s="311">
        <v>0</v>
      </c>
      <c r="N25" s="355"/>
    </row>
    <row r="26" spans="1:14">
      <c r="A26" s="264" t="s">
        <v>300</v>
      </c>
      <c r="B26" s="36"/>
      <c r="C26" s="44" t="s">
        <v>301</v>
      </c>
      <c r="D26" s="45"/>
      <c r="E26" s="263">
        <v>0</v>
      </c>
      <c r="F26" s="309">
        <f t="shared" si="3"/>
        <v>0</v>
      </c>
      <c r="G26" s="310">
        <v>0</v>
      </c>
      <c r="H26" s="310">
        <v>0</v>
      </c>
      <c r="I26" s="310">
        <v>0</v>
      </c>
      <c r="J26" s="310">
        <v>0</v>
      </c>
      <c r="K26" s="310">
        <v>0</v>
      </c>
      <c r="L26" s="310">
        <v>0</v>
      </c>
      <c r="M26" s="311">
        <v>0</v>
      </c>
      <c r="N26" s="355"/>
    </row>
    <row r="27" spans="1:14">
      <c r="A27" s="264" t="s">
        <v>302</v>
      </c>
      <c r="B27" s="36"/>
      <c r="C27" s="44" t="s">
        <v>303</v>
      </c>
      <c r="D27" s="45"/>
      <c r="E27" s="263">
        <v>0</v>
      </c>
      <c r="F27" s="309">
        <f t="shared" si="3"/>
        <v>0</v>
      </c>
      <c r="G27" s="310">
        <v>0</v>
      </c>
      <c r="H27" s="310">
        <v>0</v>
      </c>
      <c r="I27" s="310">
        <v>0</v>
      </c>
      <c r="J27" s="310">
        <v>0</v>
      </c>
      <c r="K27" s="310">
        <v>0</v>
      </c>
      <c r="L27" s="310">
        <v>0</v>
      </c>
      <c r="M27" s="311">
        <v>0</v>
      </c>
      <c r="N27" s="355"/>
    </row>
    <row r="28" spans="1:14" ht="133.65">
      <c r="A28" s="264" t="s">
        <v>304</v>
      </c>
      <c r="B28" s="36"/>
      <c r="C28" s="44">
        <v>251</v>
      </c>
      <c r="D28" s="45"/>
      <c r="E28" s="263">
        <v>86</v>
      </c>
      <c r="F28" s="309">
        <f t="shared" si="3"/>
        <v>217</v>
      </c>
      <c r="G28" s="310">
        <v>0</v>
      </c>
      <c r="H28" s="310">
        <v>217</v>
      </c>
      <c r="I28" s="310">
        <v>0</v>
      </c>
      <c r="J28" s="310">
        <v>0</v>
      </c>
      <c r="K28" s="310">
        <v>0</v>
      </c>
      <c r="L28" s="310">
        <v>0</v>
      </c>
      <c r="M28" s="311">
        <v>0</v>
      </c>
      <c r="N28" s="325" t="s">
        <v>1300</v>
      </c>
    </row>
    <row r="29" spans="1:14">
      <c r="A29" s="264" t="s">
        <v>428</v>
      </c>
      <c r="B29" s="36"/>
      <c r="C29" s="44">
        <v>251</v>
      </c>
      <c r="D29" s="45"/>
      <c r="E29" s="263">
        <v>125</v>
      </c>
      <c r="F29" s="309">
        <f t="shared" si="3"/>
        <v>0</v>
      </c>
      <c r="G29" s="310"/>
      <c r="H29" s="310">
        <v>0</v>
      </c>
      <c r="I29" s="310"/>
      <c r="J29" s="310">
        <v>0</v>
      </c>
      <c r="K29" s="310">
        <v>0</v>
      </c>
      <c r="L29" s="310">
        <v>0</v>
      </c>
      <c r="M29" s="311">
        <v>0</v>
      </c>
      <c r="N29" s="258" t="s">
        <v>1301</v>
      </c>
    </row>
    <row r="30" spans="1:14">
      <c r="A30" s="264" t="s">
        <v>313</v>
      </c>
      <c r="B30" s="36"/>
      <c r="C30" s="44">
        <v>252</v>
      </c>
      <c r="D30" s="45"/>
      <c r="E30" s="263">
        <v>0</v>
      </c>
      <c r="F30" s="309">
        <f t="shared" si="3"/>
        <v>0</v>
      </c>
      <c r="G30" s="310">
        <v>0</v>
      </c>
      <c r="H30" s="310">
        <v>0</v>
      </c>
      <c r="I30" s="310">
        <v>0</v>
      </c>
      <c r="J30" s="310">
        <v>0</v>
      </c>
      <c r="K30" s="310">
        <v>0</v>
      </c>
      <c r="L30" s="310">
        <v>0</v>
      </c>
      <c r="M30" s="311">
        <v>0</v>
      </c>
      <c r="N30" s="355"/>
    </row>
    <row r="31" spans="1:14">
      <c r="A31" s="264" t="s">
        <v>314</v>
      </c>
      <c r="B31" s="36"/>
      <c r="C31" s="44">
        <v>252</v>
      </c>
      <c r="D31" s="45"/>
      <c r="E31" s="263">
        <v>0</v>
      </c>
      <c r="F31" s="309">
        <f t="shared" si="3"/>
        <v>0</v>
      </c>
      <c r="G31" s="310">
        <v>0</v>
      </c>
      <c r="H31" s="310">
        <v>0</v>
      </c>
      <c r="I31" s="310">
        <v>0</v>
      </c>
      <c r="J31" s="310">
        <v>0</v>
      </c>
      <c r="K31" s="310">
        <v>0</v>
      </c>
      <c r="L31" s="310">
        <v>0</v>
      </c>
      <c r="M31" s="311">
        <v>0</v>
      </c>
      <c r="N31" s="355"/>
    </row>
    <row r="32" spans="1:14">
      <c r="A32" s="264" t="s">
        <v>315</v>
      </c>
      <c r="B32" s="36"/>
      <c r="C32" s="44">
        <v>253</v>
      </c>
      <c r="D32" s="264"/>
      <c r="E32" s="263">
        <v>0</v>
      </c>
      <c r="F32" s="309">
        <f t="shared" si="3"/>
        <v>0</v>
      </c>
      <c r="G32" s="310">
        <v>0</v>
      </c>
      <c r="H32" s="310">
        <v>0</v>
      </c>
      <c r="I32" s="310">
        <v>0</v>
      </c>
      <c r="J32" s="310">
        <v>0</v>
      </c>
      <c r="K32" s="310">
        <v>0</v>
      </c>
      <c r="L32" s="310">
        <v>0</v>
      </c>
      <c r="M32" s="311">
        <v>0</v>
      </c>
      <c r="N32" s="355"/>
    </row>
    <row r="33" spans="1:14">
      <c r="A33" s="264" t="s">
        <v>316</v>
      </c>
      <c r="B33" s="36"/>
      <c r="C33" s="44">
        <v>255</v>
      </c>
      <c r="D33" s="264"/>
      <c r="E33" s="263">
        <v>0</v>
      </c>
      <c r="F33" s="309">
        <f t="shared" si="3"/>
        <v>0</v>
      </c>
      <c r="G33" s="310">
        <v>0</v>
      </c>
      <c r="H33" s="310">
        <v>0</v>
      </c>
      <c r="I33" s="310">
        <v>0</v>
      </c>
      <c r="J33" s="310">
        <v>0</v>
      </c>
      <c r="K33" s="310">
        <v>0</v>
      </c>
      <c r="L33" s="310">
        <v>0</v>
      </c>
      <c r="M33" s="311">
        <v>0</v>
      </c>
      <c r="N33" s="355"/>
    </row>
    <row r="34" spans="1:14">
      <c r="A34" s="264" t="s">
        <v>317</v>
      </c>
      <c r="B34" s="36"/>
      <c r="C34" s="44">
        <v>256</v>
      </c>
      <c r="D34" s="264"/>
      <c r="E34" s="263">
        <v>0</v>
      </c>
      <c r="F34" s="309">
        <f t="shared" si="3"/>
        <v>0</v>
      </c>
      <c r="G34" s="310">
        <v>0</v>
      </c>
      <c r="H34" s="310">
        <v>0</v>
      </c>
      <c r="I34" s="310">
        <v>0</v>
      </c>
      <c r="J34" s="310">
        <v>0</v>
      </c>
      <c r="K34" s="310">
        <v>0</v>
      </c>
      <c r="L34" s="310">
        <v>0</v>
      </c>
      <c r="M34" s="311">
        <v>0</v>
      </c>
      <c r="N34" s="355"/>
    </row>
    <row r="35" spans="1:14" ht="29.7">
      <c r="A35" s="264" t="s">
        <v>318</v>
      </c>
      <c r="B35" s="36"/>
      <c r="C35" s="44">
        <v>257</v>
      </c>
      <c r="D35" s="264"/>
      <c r="E35" s="263">
        <v>21</v>
      </c>
      <c r="F35" s="309">
        <f t="shared" si="3"/>
        <v>22</v>
      </c>
      <c r="G35" s="310">
        <v>0</v>
      </c>
      <c r="H35" s="310">
        <v>22</v>
      </c>
      <c r="I35" s="310">
        <v>0</v>
      </c>
      <c r="J35" s="310">
        <v>0</v>
      </c>
      <c r="K35" s="310">
        <v>0</v>
      </c>
      <c r="L35" s="310">
        <v>0</v>
      </c>
      <c r="M35" s="311">
        <v>0</v>
      </c>
      <c r="N35" s="327" t="s">
        <v>1302</v>
      </c>
    </row>
    <row r="36" spans="1:14">
      <c r="A36" s="264" t="s">
        <v>319</v>
      </c>
      <c r="B36" s="36"/>
      <c r="C36" s="44" t="s">
        <v>320</v>
      </c>
      <c r="D36" s="264"/>
      <c r="E36" s="263">
        <v>0</v>
      </c>
      <c r="F36" s="309">
        <f t="shared" si="3"/>
        <v>0</v>
      </c>
      <c r="G36" s="310">
        <v>0</v>
      </c>
      <c r="H36" s="310">
        <v>0</v>
      </c>
      <c r="I36" s="310">
        <v>0</v>
      </c>
      <c r="J36" s="310">
        <v>0</v>
      </c>
      <c r="K36" s="310">
        <v>0</v>
      </c>
      <c r="L36" s="310">
        <v>0</v>
      </c>
      <c r="M36" s="311">
        <v>0</v>
      </c>
      <c r="N36" s="355"/>
    </row>
    <row r="37" spans="1:14">
      <c r="A37" s="265" t="s">
        <v>321</v>
      </c>
      <c r="B37" s="36"/>
      <c r="C37" s="266" t="s">
        <v>322</v>
      </c>
      <c r="D37" s="246"/>
      <c r="E37" s="263">
        <v>0</v>
      </c>
      <c r="F37" s="309">
        <f>SUM(G37:M37)</f>
        <v>0</v>
      </c>
      <c r="G37" s="310">
        <v>0</v>
      </c>
      <c r="H37" s="310">
        <v>0</v>
      </c>
      <c r="I37" s="310">
        <v>0</v>
      </c>
      <c r="J37" s="310">
        <v>0</v>
      </c>
      <c r="K37" s="310">
        <v>0</v>
      </c>
      <c r="L37" s="310">
        <v>0</v>
      </c>
      <c r="M37" s="311">
        <v>0</v>
      </c>
      <c r="N37" s="355"/>
    </row>
    <row r="38" spans="1:14" ht="29.5" customHeight="1">
      <c r="A38" s="265" t="s">
        <v>323</v>
      </c>
      <c r="B38" s="390"/>
      <c r="C38" s="266" t="s">
        <v>324</v>
      </c>
      <c r="D38" s="265"/>
      <c r="E38" s="318">
        <v>0</v>
      </c>
      <c r="F38" s="309">
        <f>SUM(G38:M38)</f>
        <v>0</v>
      </c>
      <c r="G38" s="165">
        <v>0</v>
      </c>
      <c r="H38" s="165">
        <v>0</v>
      </c>
      <c r="I38" s="165">
        <v>0</v>
      </c>
      <c r="J38" s="165">
        <v>0</v>
      </c>
      <c r="K38" s="165">
        <v>0</v>
      </c>
      <c r="L38" s="165">
        <v>0</v>
      </c>
      <c r="M38" s="166">
        <v>0</v>
      </c>
      <c r="N38" s="325"/>
    </row>
    <row r="39" spans="1:14">
      <c r="A39" s="40" t="s">
        <v>326</v>
      </c>
      <c r="B39" s="265"/>
      <c r="C39" s="266"/>
      <c r="D39" s="247"/>
      <c r="E39" s="242">
        <f t="shared" ref="E39:M39" si="4">SUM(E24:E38)</f>
        <v>232</v>
      </c>
      <c r="F39" s="243">
        <f t="shared" si="4"/>
        <v>239</v>
      </c>
      <c r="G39" s="243">
        <f t="shared" si="4"/>
        <v>0</v>
      </c>
      <c r="H39" s="243">
        <f t="shared" si="4"/>
        <v>239</v>
      </c>
      <c r="I39" s="243">
        <f t="shared" si="4"/>
        <v>0</v>
      </c>
      <c r="J39" s="243">
        <f t="shared" si="4"/>
        <v>0</v>
      </c>
      <c r="K39" s="243">
        <f t="shared" si="4"/>
        <v>0</v>
      </c>
      <c r="L39" s="243">
        <f t="shared" si="4"/>
        <v>0</v>
      </c>
      <c r="M39" s="243">
        <f t="shared" si="4"/>
        <v>0</v>
      </c>
      <c r="N39" s="355"/>
    </row>
    <row r="40" spans="1:14">
      <c r="A40" s="40" t="s">
        <v>327</v>
      </c>
      <c r="B40" s="51"/>
      <c r="C40" s="149"/>
      <c r="D40" s="247"/>
      <c r="E40" s="244"/>
      <c r="F40" s="245">
        <f>SUM(G40:L40)</f>
        <v>0</v>
      </c>
      <c r="G40" s="245"/>
      <c r="H40" s="245">
        <v>0</v>
      </c>
      <c r="I40" s="245"/>
      <c r="J40" s="245"/>
      <c r="K40" s="245"/>
      <c r="L40" s="245"/>
      <c r="M40" s="245"/>
      <c r="N40" s="325" t="s">
        <v>568</v>
      </c>
    </row>
    <row r="41" spans="1:14">
      <c r="A41" s="40" t="s">
        <v>328</v>
      </c>
      <c r="B41" s="46"/>
      <c r="C41" s="47"/>
      <c r="D41" s="48">
        <f>D39+D22+D16</f>
        <v>0</v>
      </c>
      <c r="E41" s="242">
        <f>E39+E22+E16-E40</f>
        <v>232</v>
      </c>
      <c r="F41" s="17">
        <f t="shared" ref="F41:M41" si="5">F39+F22+F16-F40</f>
        <v>239</v>
      </c>
      <c r="G41" s="17">
        <f t="shared" si="5"/>
        <v>0</v>
      </c>
      <c r="H41" s="17">
        <f t="shared" si="5"/>
        <v>239</v>
      </c>
      <c r="I41" s="17">
        <f t="shared" si="5"/>
        <v>0</v>
      </c>
      <c r="J41" s="17">
        <f t="shared" si="5"/>
        <v>0</v>
      </c>
      <c r="K41" s="17">
        <f t="shared" si="5"/>
        <v>0</v>
      </c>
      <c r="L41" s="17">
        <f t="shared" si="5"/>
        <v>0</v>
      </c>
      <c r="M41" s="17">
        <f t="shared" si="5"/>
        <v>0</v>
      </c>
      <c r="N41" s="353"/>
    </row>
    <row r="44" spans="1:14" ht="15.6" thickBot="1">
      <c r="A44" s="603"/>
      <c r="B44" s="603"/>
      <c r="C44" s="604"/>
      <c r="D44" s="603"/>
      <c r="E44" s="603"/>
      <c r="F44" s="603"/>
      <c r="G44" s="603"/>
      <c r="H44" s="603"/>
      <c r="I44" s="603"/>
      <c r="J44" s="603"/>
      <c r="K44" s="603"/>
      <c r="L44" s="603"/>
      <c r="M44" s="603"/>
      <c r="N44" s="605"/>
    </row>
    <row r="45" spans="1:14" ht="15.6">
      <c r="A45" s="855" t="s">
        <v>330</v>
      </c>
      <c r="B45" s="856"/>
      <c r="C45" s="856"/>
      <c r="D45" s="856"/>
      <c r="E45" s="856"/>
      <c r="F45" s="856"/>
      <c r="G45" s="606"/>
      <c r="H45" s="603"/>
      <c r="I45" s="603"/>
      <c r="J45" s="603"/>
      <c r="K45" s="603"/>
      <c r="L45" s="603"/>
      <c r="M45" s="603"/>
      <c r="N45" s="605"/>
    </row>
    <row r="46" spans="1:14" ht="15.6">
      <c r="A46" s="857"/>
      <c r="B46" s="858"/>
      <c r="C46" s="858"/>
      <c r="D46" s="858"/>
      <c r="E46" s="858"/>
      <c r="F46" s="858"/>
      <c r="G46" s="607"/>
      <c r="H46" s="603"/>
      <c r="I46" s="603"/>
      <c r="J46" s="603"/>
      <c r="K46" s="603"/>
      <c r="L46" s="603"/>
      <c r="M46" s="603"/>
      <c r="N46" s="605"/>
    </row>
    <row r="47" spans="1:14">
      <c r="A47" s="859" t="s">
        <v>331</v>
      </c>
      <c r="B47" s="860"/>
      <c r="C47" s="608"/>
      <c r="D47" s="608"/>
      <c r="E47" s="608"/>
      <c r="F47" s="608"/>
      <c r="G47" s="607"/>
      <c r="H47" s="603"/>
      <c r="I47" s="603"/>
      <c r="J47" s="603"/>
      <c r="K47" s="603"/>
      <c r="L47" s="603"/>
      <c r="M47" s="603"/>
      <c r="N47" s="605"/>
    </row>
    <row r="48" spans="1:14">
      <c r="A48" s="609" t="s">
        <v>480</v>
      </c>
      <c r="B48" s="610">
        <f>E41</f>
        <v>232</v>
      </c>
      <c r="C48" s="611"/>
      <c r="D48" s="612"/>
      <c r="E48" s="612"/>
      <c r="F48" s="612"/>
      <c r="G48" s="607"/>
      <c r="H48" s="603"/>
      <c r="I48" s="603"/>
      <c r="J48" s="603"/>
      <c r="K48" s="603"/>
      <c r="L48" s="603"/>
      <c r="M48" s="603"/>
      <c r="N48" s="605"/>
    </row>
    <row r="49" spans="1:14">
      <c r="A49" s="613" t="s">
        <v>481</v>
      </c>
      <c r="B49" s="614">
        <f>F41</f>
        <v>239</v>
      </c>
      <c r="C49" s="611"/>
      <c r="D49" s="612"/>
      <c r="E49" s="612"/>
      <c r="F49" s="612"/>
      <c r="G49" s="607"/>
      <c r="H49" s="603"/>
      <c r="I49" s="603"/>
      <c r="J49" s="603"/>
      <c r="K49" s="603"/>
      <c r="L49" s="603"/>
      <c r="M49" s="603"/>
      <c r="N49" s="605"/>
    </row>
    <row r="50" spans="1:14">
      <c r="A50" s="615" t="s">
        <v>334</v>
      </c>
      <c r="B50" s="616">
        <f>B49-B48</f>
        <v>7</v>
      </c>
      <c r="C50" s="611"/>
      <c r="D50" s="612"/>
      <c r="E50" s="612"/>
      <c r="F50" s="612"/>
      <c r="G50" s="607"/>
      <c r="H50" s="603"/>
      <c r="I50" s="603"/>
      <c r="J50" s="603"/>
      <c r="K50" s="603"/>
      <c r="L50" s="603"/>
      <c r="M50" s="603"/>
      <c r="N50" s="605"/>
    </row>
    <row r="51" spans="1:14">
      <c r="A51" s="615" t="s">
        <v>335</v>
      </c>
      <c r="B51" s="617">
        <f>B50/B48</f>
        <v>3.017241379310345E-2</v>
      </c>
      <c r="C51" s="611"/>
      <c r="D51" s="612"/>
      <c r="E51" s="612"/>
      <c r="F51" s="612"/>
      <c r="G51" s="607"/>
      <c r="H51" s="603"/>
      <c r="I51" s="603"/>
      <c r="J51" s="603"/>
      <c r="K51" s="603"/>
      <c r="L51" s="603"/>
      <c r="M51" s="603"/>
      <c r="N51" s="605"/>
    </row>
    <row r="52" spans="1:14">
      <c r="A52" s="618"/>
      <c r="B52" s="612"/>
      <c r="C52" s="619"/>
      <c r="D52" s="612"/>
      <c r="E52" s="612"/>
      <c r="F52" s="612"/>
      <c r="G52" s="607"/>
      <c r="H52" s="603"/>
      <c r="I52" s="603"/>
      <c r="J52" s="603"/>
      <c r="K52" s="603"/>
      <c r="L52" s="603"/>
      <c r="M52" s="603"/>
      <c r="N52" s="605"/>
    </row>
    <row r="53" spans="1:14">
      <c r="A53" s="842" t="s">
        <v>336</v>
      </c>
      <c r="B53" s="843"/>
      <c r="C53" s="843"/>
      <c r="D53" s="843"/>
      <c r="E53" s="843"/>
      <c r="F53" s="843"/>
      <c r="G53" s="607"/>
      <c r="H53" s="603"/>
      <c r="I53" s="603"/>
      <c r="J53" s="603"/>
      <c r="K53" s="603"/>
      <c r="L53" s="603"/>
      <c r="M53" s="603"/>
      <c r="N53" s="605"/>
    </row>
    <row r="54" spans="1:14" ht="28.95" customHeight="1">
      <c r="A54" s="848" t="s">
        <v>1303</v>
      </c>
      <c r="B54" s="849"/>
      <c r="C54" s="849"/>
      <c r="D54" s="849"/>
      <c r="E54" s="849"/>
      <c r="F54" s="850"/>
      <c r="G54" s="607"/>
      <c r="H54" s="603"/>
      <c r="I54" s="603"/>
      <c r="J54" s="603"/>
      <c r="K54" s="603"/>
      <c r="L54" s="603"/>
      <c r="M54" s="603"/>
      <c r="N54" s="605"/>
    </row>
    <row r="55" spans="1:14">
      <c r="A55" s="620"/>
      <c r="B55" s="621"/>
      <c r="C55" s="621"/>
      <c r="D55" s="621"/>
      <c r="E55" s="621"/>
      <c r="F55" s="621"/>
      <c r="G55" s="607"/>
      <c r="H55" s="603"/>
      <c r="I55" s="603"/>
      <c r="J55" s="603"/>
      <c r="K55" s="603"/>
      <c r="L55" s="603"/>
      <c r="M55" s="603"/>
      <c r="N55" s="605"/>
    </row>
    <row r="56" spans="1:14">
      <c r="A56" s="622" t="s">
        <v>337</v>
      </c>
      <c r="B56" s="612"/>
      <c r="C56" s="619"/>
      <c r="D56" s="612"/>
      <c r="E56" s="612"/>
      <c r="F56" s="612"/>
      <c r="G56" s="607"/>
      <c r="H56" s="603"/>
      <c r="I56" s="603"/>
      <c r="J56" s="603"/>
      <c r="K56" s="603"/>
      <c r="L56" s="603"/>
      <c r="M56" s="603"/>
      <c r="N56" s="605"/>
    </row>
    <row r="57" spans="1:14" ht="30.25" customHeight="1">
      <c r="A57" s="848" t="s">
        <v>1304</v>
      </c>
      <c r="B57" s="849"/>
      <c r="C57" s="849"/>
      <c r="D57" s="849"/>
      <c r="E57" s="849"/>
      <c r="F57" s="850"/>
      <c r="G57" s="607"/>
      <c r="H57" s="603"/>
      <c r="I57" s="603"/>
      <c r="J57" s="603"/>
      <c r="K57" s="603"/>
      <c r="L57" s="603"/>
      <c r="M57" s="603"/>
      <c r="N57" s="605"/>
    </row>
    <row r="58" spans="1:14">
      <c r="A58" s="618"/>
      <c r="B58" s="612"/>
      <c r="C58" s="619"/>
      <c r="D58" s="612"/>
      <c r="E58" s="612"/>
      <c r="F58" s="612"/>
      <c r="G58" s="607"/>
      <c r="H58" s="603"/>
      <c r="I58" s="603"/>
      <c r="J58" s="603"/>
      <c r="K58" s="603"/>
      <c r="L58" s="603"/>
      <c r="M58" s="603"/>
      <c r="N58" s="605"/>
    </row>
    <row r="59" spans="1:14">
      <c r="A59" s="851" t="s">
        <v>365</v>
      </c>
      <c r="B59" s="852"/>
      <c r="C59" s="852"/>
      <c r="D59" s="852"/>
      <c r="E59" s="852"/>
      <c r="F59" s="852"/>
      <c r="G59" s="607"/>
      <c r="H59" s="603"/>
      <c r="I59" s="603"/>
      <c r="J59" s="603"/>
      <c r="K59" s="603"/>
      <c r="L59" s="603"/>
      <c r="M59" s="603"/>
      <c r="N59" s="605"/>
    </row>
    <row r="60" spans="1:14">
      <c r="A60" s="853" t="s">
        <v>339</v>
      </c>
      <c r="B60" s="854"/>
      <c r="C60" s="854"/>
      <c r="D60" s="854"/>
      <c r="E60" s="854"/>
      <c r="F60" s="854"/>
      <c r="G60" s="607"/>
      <c r="H60" s="603"/>
      <c r="I60" s="603"/>
      <c r="J60" s="603"/>
      <c r="K60" s="603"/>
      <c r="L60" s="603"/>
      <c r="M60" s="603"/>
      <c r="N60" s="605"/>
    </row>
    <row r="61" spans="1:14" ht="28.95" customHeight="1">
      <c r="A61" s="839" t="s">
        <v>1305</v>
      </c>
      <c r="B61" s="840"/>
      <c r="C61" s="840"/>
      <c r="D61" s="840"/>
      <c r="E61" s="840"/>
      <c r="F61" s="841"/>
      <c r="G61" s="607"/>
      <c r="H61" s="603"/>
      <c r="I61" s="603"/>
      <c r="J61" s="603"/>
      <c r="K61" s="603"/>
      <c r="L61" s="603"/>
      <c r="M61" s="603"/>
      <c r="N61" s="605"/>
    </row>
    <row r="62" spans="1:14">
      <c r="A62" s="622"/>
      <c r="B62" s="612"/>
      <c r="C62" s="619"/>
      <c r="D62" s="612"/>
      <c r="E62" s="612"/>
      <c r="F62" s="612"/>
      <c r="G62" s="607"/>
      <c r="H62" s="603"/>
      <c r="I62" s="603"/>
      <c r="J62" s="603"/>
      <c r="K62" s="603"/>
      <c r="L62" s="603"/>
      <c r="M62" s="603"/>
      <c r="N62" s="605"/>
    </row>
    <row r="63" spans="1:14">
      <c r="A63" s="842" t="s">
        <v>340</v>
      </c>
      <c r="B63" s="843"/>
      <c r="C63" s="843"/>
      <c r="D63" s="843"/>
      <c r="E63" s="843"/>
      <c r="F63" s="612"/>
      <c r="G63" s="607"/>
      <c r="H63" s="603"/>
      <c r="I63" s="603"/>
      <c r="J63" s="603"/>
      <c r="K63" s="603"/>
      <c r="L63" s="603"/>
      <c r="M63" s="603"/>
      <c r="N63" s="605"/>
    </row>
    <row r="64" spans="1:14">
      <c r="A64" s="839" t="s">
        <v>1292</v>
      </c>
      <c r="B64" s="840"/>
      <c r="C64" s="840"/>
      <c r="D64" s="840"/>
      <c r="E64" s="840"/>
      <c r="F64" s="841"/>
      <c r="G64" s="607"/>
      <c r="H64" s="603"/>
      <c r="I64" s="603"/>
      <c r="J64" s="603"/>
      <c r="K64" s="603"/>
      <c r="L64" s="603"/>
      <c r="M64" s="603"/>
      <c r="N64" s="605"/>
    </row>
    <row r="65" spans="1:14">
      <c r="A65" s="618"/>
      <c r="B65" s="612"/>
      <c r="C65" s="619"/>
      <c r="D65" s="612"/>
      <c r="E65" s="612"/>
      <c r="F65" s="612"/>
      <c r="G65" s="607"/>
      <c r="H65" s="603"/>
      <c r="I65" s="603"/>
      <c r="J65" s="603"/>
      <c r="K65" s="603"/>
      <c r="L65" s="603"/>
      <c r="M65" s="603"/>
      <c r="N65" s="605"/>
    </row>
    <row r="66" spans="1:14">
      <c r="A66" s="622" t="s">
        <v>953</v>
      </c>
      <c r="B66" s="612"/>
      <c r="C66" s="619"/>
      <c r="D66" s="612"/>
      <c r="E66" s="612"/>
      <c r="F66" s="612"/>
      <c r="G66" s="607"/>
      <c r="H66" s="603"/>
      <c r="I66" s="603"/>
      <c r="J66" s="603"/>
      <c r="K66" s="603"/>
      <c r="L66" s="603"/>
      <c r="M66" s="603"/>
      <c r="N66" s="605"/>
    </row>
    <row r="67" spans="1:14">
      <c r="A67" s="623" t="s">
        <v>342</v>
      </c>
      <c r="B67" s="612"/>
      <c r="C67" s="619"/>
      <c r="D67" s="612"/>
      <c r="E67" s="612"/>
      <c r="F67" s="612"/>
      <c r="G67" s="607"/>
      <c r="H67" s="603"/>
      <c r="I67" s="603"/>
      <c r="J67" s="603"/>
      <c r="K67" s="603"/>
      <c r="L67" s="603"/>
      <c r="M67" s="603"/>
      <c r="N67" s="605"/>
    </row>
    <row r="68" spans="1:14" ht="23.95" customHeight="1">
      <c r="A68" s="844" t="s">
        <v>343</v>
      </c>
      <c r="B68" s="845"/>
      <c r="C68" s="845"/>
      <c r="D68" s="845"/>
      <c r="E68" s="845"/>
      <c r="F68" s="845"/>
      <c r="G68" s="607"/>
      <c r="H68" s="603"/>
      <c r="I68" s="603"/>
      <c r="J68" s="603"/>
      <c r="K68" s="603"/>
      <c r="L68" s="603"/>
      <c r="M68" s="603"/>
      <c r="N68" s="605"/>
    </row>
    <row r="69" spans="1:14" ht="52.7" customHeight="1">
      <c r="A69" s="839" t="s">
        <v>1306</v>
      </c>
      <c r="B69" s="840"/>
      <c r="C69" s="840"/>
      <c r="D69" s="840"/>
      <c r="E69" s="840"/>
      <c r="F69" s="841"/>
      <c r="G69" s="607"/>
      <c r="H69" s="603"/>
      <c r="I69" s="603"/>
      <c r="J69" s="603"/>
      <c r="K69" s="603"/>
      <c r="L69" s="603"/>
      <c r="M69" s="603"/>
      <c r="N69" s="605"/>
    </row>
    <row r="70" spans="1:14">
      <c r="A70" s="846"/>
      <c r="B70" s="847"/>
      <c r="C70" s="847"/>
      <c r="D70" s="847"/>
      <c r="E70" s="847"/>
      <c r="F70" s="847"/>
      <c r="G70" s="607"/>
      <c r="H70" s="603"/>
      <c r="I70" s="603"/>
      <c r="J70" s="603"/>
      <c r="K70" s="603"/>
      <c r="L70" s="603"/>
      <c r="M70" s="603"/>
      <c r="N70" s="605"/>
    </row>
    <row r="71" spans="1:14">
      <c r="A71" s="623" t="s">
        <v>344</v>
      </c>
      <c r="B71" s="612"/>
      <c r="C71" s="619"/>
      <c r="D71" s="612"/>
      <c r="E71" s="612"/>
      <c r="F71" s="612"/>
      <c r="G71" s="607"/>
      <c r="H71" s="603"/>
      <c r="I71" s="603"/>
      <c r="J71" s="603"/>
      <c r="K71" s="603"/>
      <c r="L71" s="603"/>
      <c r="M71" s="603"/>
      <c r="N71" s="605"/>
    </row>
    <row r="72" spans="1:14">
      <c r="A72" s="837" t="s">
        <v>804</v>
      </c>
      <c r="B72" s="838"/>
      <c r="C72" s="838"/>
      <c r="D72" s="838"/>
      <c r="E72" s="838"/>
      <c r="F72" s="838"/>
      <c r="G72" s="607"/>
      <c r="H72" s="603"/>
      <c r="I72" s="603"/>
      <c r="J72" s="603"/>
      <c r="K72" s="603"/>
      <c r="L72" s="603"/>
      <c r="M72" s="603"/>
      <c r="N72" s="605"/>
    </row>
    <row r="73" spans="1:14">
      <c r="A73" s="839" t="s">
        <v>679</v>
      </c>
      <c r="B73" s="840"/>
      <c r="C73" s="840"/>
      <c r="D73" s="840"/>
      <c r="E73" s="840"/>
      <c r="F73" s="841"/>
      <c r="G73" s="607"/>
      <c r="H73" s="603"/>
      <c r="I73" s="603"/>
      <c r="J73" s="603"/>
      <c r="K73" s="603"/>
      <c r="L73" s="603"/>
      <c r="M73" s="603"/>
      <c r="N73" s="605"/>
    </row>
    <row r="74" spans="1:14" ht="15.6" thickBot="1">
      <c r="A74" s="624"/>
      <c r="B74" s="625"/>
      <c r="C74" s="626"/>
      <c r="D74" s="625"/>
      <c r="E74" s="625"/>
      <c r="F74" s="625"/>
      <c r="G74" s="627"/>
      <c r="H74" s="603"/>
      <c r="I74" s="603"/>
      <c r="J74" s="603"/>
      <c r="K74" s="603"/>
      <c r="L74" s="603"/>
      <c r="M74" s="603"/>
      <c r="N74" s="605"/>
    </row>
    <row r="75" spans="1:14">
      <c r="A75" s="603"/>
      <c r="B75" s="603"/>
      <c r="C75" s="604"/>
      <c r="D75" s="603"/>
      <c r="E75" s="603"/>
      <c r="F75" s="603"/>
      <c r="G75" s="603"/>
      <c r="H75" s="603"/>
      <c r="I75" s="603"/>
      <c r="J75" s="603"/>
      <c r="K75" s="603"/>
      <c r="L75" s="603"/>
      <c r="M75" s="603"/>
      <c r="N75" s="605"/>
    </row>
    <row r="76" spans="1:14">
      <c r="C76" s="687"/>
      <c r="N76" s="565"/>
    </row>
  </sheetData>
  <mergeCells count="17">
    <mergeCell ref="A1:N1"/>
    <mergeCell ref="A45:F45"/>
    <mergeCell ref="A46:F46"/>
    <mergeCell ref="A47:B47"/>
    <mergeCell ref="A53:F53"/>
    <mergeCell ref="A54:F54"/>
    <mergeCell ref="A57:F57"/>
    <mergeCell ref="A59:F59"/>
    <mergeCell ref="A60:F60"/>
    <mergeCell ref="A61:F61"/>
    <mergeCell ref="A72:F72"/>
    <mergeCell ref="A73:F73"/>
    <mergeCell ref="A63:E63"/>
    <mergeCell ref="A64:F64"/>
    <mergeCell ref="A68:F68"/>
    <mergeCell ref="A69:F69"/>
    <mergeCell ref="A70:F70"/>
  </mergeCells>
  <printOptions horizontalCentered="1"/>
  <pageMargins left="0.2" right="0.2"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91"/>
  <sheetViews>
    <sheetView zoomScaleNormal="100" workbookViewId="0">
      <selection sqref="A1:O1"/>
    </sheetView>
  </sheetViews>
  <sheetFormatPr defaultColWidth="9.140625" defaultRowHeight="14.85"/>
  <cols>
    <col min="1" max="1" width="47.28515625" style="151" customWidth="1"/>
    <col min="2" max="2" width="16" style="151" customWidth="1"/>
    <col min="3" max="3" width="7.7109375" style="152" customWidth="1"/>
    <col min="4" max="4" width="8.7109375" style="151" customWidth="1"/>
    <col min="5" max="6" width="10.7109375" style="151" customWidth="1"/>
    <col min="7" max="7" width="11" style="151" customWidth="1"/>
    <col min="8" max="8" width="9.5703125" style="151" customWidth="1"/>
    <col min="9" max="9" width="8.42578125" style="151" customWidth="1"/>
    <col min="10" max="11" width="7.140625" style="151" customWidth="1"/>
    <col min="12" max="12" width="7.7109375" style="151" customWidth="1"/>
    <col min="13" max="13" width="9.7109375" style="151" customWidth="1"/>
    <col min="14" max="14" width="9.140625" style="151" customWidth="1"/>
    <col min="15" max="15" width="34.85546875" style="151" customWidth="1"/>
    <col min="16" max="16384" width="9.140625" style="151"/>
  </cols>
  <sheetData>
    <row r="1" spans="1:15" ht="15.6">
      <c r="A1" s="745" t="s">
        <v>227</v>
      </c>
      <c r="B1" s="745"/>
      <c r="C1" s="745"/>
      <c r="D1" s="745"/>
      <c r="E1" s="745"/>
      <c r="F1" s="745"/>
      <c r="G1" s="745"/>
      <c r="H1" s="745"/>
      <c r="I1" s="745"/>
      <c r="J1" s="745"/>
      <c r="K1" s="745"/>
      <c r="L1" s="745"/>
      <c r="M1" s="745"/>
      <c r="N1" s="745"/>
      <c r="O1" s="745"/>
    </row>
    <row r="2" spans="1:15">
      <c r="A2" s="65" t="s">
        <v>179</v>
      </c>
      <c r="B2" s="381"/>
      <c r="C2" s="687"/>
      <c r="D2" s="381"/>
      <c r="E2" s="381"/>
      <c r="F2" s="381"/>
      <c r="G2" s="381"/>
      <c r="H2" s="381"/>
      <c r="I2" s="381"/>
      <c r="J2" s="381"/>
      <c r="K2" s="381"/>
      <c r="L2" s="381"/>
      <c r="M2" s="381"/>
      <c r="N2" s="381"/>
      <c r="O2" s="381"/>
    </row>
    <row r="3" spans="1:15">
      <c r="A3" s="68" t="s">
        <v>274</v>
      </c>
      <c r="B3" s="381"/>
      <c r="C3" s="687"/>
      <c r="D3" s="381"/>
      <c r="E3" s="381"/>
      <c r="F3" s="554" t="s">
        <v>275</v>
      </c>
      <c r="G3" s="29"/>
      <c r="H3" s="381"/>
      <c r="I3" s="381"/>
      <c r="J3" s="381"/>
      <c r="K3" s="381"/>
      <c r="L3" s="381"/>
      <c r="M3" s="381"/>
      <c r="N3" s="381"/>
      <c r="O3" s="381"/>
    </row>
    <row r="4" spans="1:15">
      <c r="A4" s="68" t="s">
        <v>276</v>
      </c>
      <c r="B4" s="31"/>
      <c r="C4" s="32"/>
      <c r="D4" s="31"/>
      <c r="E4" s="31"/>
      <c r="F4" s="31"/>
      <c r="G4" s="381"/>
      <c r="H4" s="381"/>
      <c r="I4" s="381"/>
      <c r="J4" s="381"/>
      <c r="K4" s="381"/>
      <c r="L4" s="381"/>
      <c r="M4" s="381"/>
      <c r="N4" s="381"/>
      <c r="O4" s="381"/>
    </row>
    <row r="5" spans="1:15" ht="38.6">
      <c r="A5" s="33"/>
      <c r="B5" s="33" t="s">
        <v>277</v>
      </c>
      <c r="C5" s="1" t="s">
        <v>278</v>
      </c>
      <c r="D5" s="2" t="s">
        <v>279</v>
      </c>
      <c r="E5" s="34" t="s">
        <v>280</v>
      </c>
      <c r="F5" s="2" t="s">
        <v>281</v>
      </c>
      <c r="G5" s="35" t="s">
        <v>282</v>
      </c>
      <c r="H5" s="35" t="s">
        <v>0</v>
      </c>
      <c r="I5" s="35" t="s">
        <v>1</v>
      </c>
      <c r="J5" s="35" t="s">
        <v>2</v>
      </c>
      <c r="K5" s="35" t="s">
        <v>3</v>
      </c>
      <c r="L5" s="35" t="s">
        <v>4</v>
      </c>
      <c r="M5" s="35" t="s">
        <v>34</v>
      </c>
      <c r="N5" s="2" t="s">
        <v>283</v>
      </c>
      <c r="O5" s="35" t="s">
        <v>284</v>
      </c>
    </row>
    <row r="6" spans="1:15">
      <c r="A6" s="127" t="s">
        <v>285</v>
      </c>
      <c r="B6" s="128"/>
      <c r="C6" s="129"/>
      <c r="D6" s="128"/>
      <c r="E6" s="128"/>
      <c r="F6" s="128"/>
      <c r="G6" s="89"/>
      <c r="H6" s="89"/>
      <c r="I6" s="89"/>
      <c r="J6" s="89"/>
      <c r="K6" s="89"/>
      <c r="L6" s="89"/>
      <c r="M6" s="89"/>
      <c r="N6" s="89"/>
      <c r="O6" s="89"/>
    </row>
    <row r="7" spans="1:15">
      <c r="A7" s="36" t="s">
        <v>286</v>
      </c>
      <c r="B7" s="36"/>
      <c r="C7" s="37" t="s">
        <v>287</v>
      </c>
      <c r="D7" s="38"/>
      <c r="E7" s="263">
        <v>0</v>
      </c>
      <c r="F7" s="38"/>
      <c r="G7" s="309">
        <f t="shared" ref="G7:G12" si="0">SUM(H7:N7)</f>
        <v>0</v>
      </c>
      <c r="H7" s="310">
        <v>0</v>
      </c>
      <c r="I7" s="310">
        <v>0</v>
      </c>
      <c r="J7" s="310">
        <v>0</v>
      </c>
      <c r="K7" s="310">
        <v>0</v>
      </c>
      <c r="L7" s="310">
        <v>0</v>
      </c>
      <c r="M7" s="310">
        <v>0</v>
      </c>
      <c r="N7" s="311">
        <v>0</v>
      </c>
      <c r="O7" s="355"/>
    </row>
    <row r="8" spans="1:15" ht="15.05" customHeight="1">
      <c r="A8" s="36" t="s">
        <v>286</v>
      </c>
      <c r="B8" s="36"/>
      <c r="C8" s="37" t="s">
        <v>287</v>
      </c>
      <c r="D8" s="39"/>
      <c r="E8" s="263">
        <v>0</v>
      </c>
      <c r="F8" s="39"/>
      <c r="G8" s="309">
        <f t="shared" si="0"/>
        <v>0</v>
      </c>
      <c r="H8" s="310">
        <v>0</v>
      </c>
      <c r="I8" s="310">
        <v>0</v>
      </c>
      <c r="J8" s="310">
        <v>0</v>
      </c>
      <c r="K8" s="310">
        <v>0</v>
      </c>
      <c r="L8" s="310">
        <v>0</v>
      </c>
      <c r="M8" s="310">
        <v>0</v>
      </c>
      <c r="N8" s="311">
        <v>0</v>
      </c>
      <c r="O8" s="355"/>
    </row>
    <row r="9" spans="1:15" ht="15.05" customHeight="1">
      <c r="A9" s="36" t="s">
        <v>286</v>
      </c>
      <c r="B9" s="264"/>
      <c r="C9" s="37" t="s">
        <v>287</v>
      </c>
      <c r="D9" s="39"/>
      <c r="E9" s="263">
        <v>0</v>
      </c>
      <c r="F9" s="39"/>
      <c r="G9" s="309">
        <f t="shared" si="0"/>
        <v>0</v>
      </c>
      <c r="H9" s="310">
        <v>0</v>
      </c>
      <c r="I9" s="310">
        <v>0</v>
      </c>
      <c r="J9" s="310">
        <v>0</v>
      </c>
      <c r="K9" s="310">
        <v>0</v>
      </c>
      <c r="L9" s="310">
        <v>0</v>
      </c>
      <c r="M9" s="310">
        <v>0</v>
      </c>
      <c r="N9" s="311">
        <v>0</v>
      </c>
      <c r="O9" s="355"/>
    </row>
    <row r="10" spans="1:15">
      <c r="A10" s="36" t="s">
        <v>286</v>
      </c>
      <c r="B10" s="264"/>
      <c r="C10" s="37" t="s">
        <v>287</v>
      </c>
      <c r="D10" s="39"/>
      <c r="E10" s="263">
        <v>0</v>
      </c>
      <c r="F10" s="39"/>
      <c r="G10" s="309">
        <f t="shared" si="0"/>
        <v>0</v>
      </c>
      <c r="H10" s="310">
        <v>0</v>
      </c>
      <c r="I10" s="310">
        <v>0</v>
      </c>
      <c r="J10" s="310">
        <v>0</v>
      </c>
      <c r="K10" s="310">
        <v>0</v>
      </c>
      <c r="L10" s="310">
        <v>0</v>
      </c>
      <c r="M10" s="310">
        <v>0</v>
      </c>
      <c r="N10" s="311">
        <v>0</v>
      </c>
      <c r="O10" s="355"/>
    </row>
    <row r="11" spans="1:15">
      <c r="A11" s="36" t="s">
        <v>286</v>
      </c>
      <c r="B11" s="264"/>
      <c r="C11" s="37" t="s">
        <v>287</v>
      </c>
      <c r="D11" s="39"/>
      <c r="E11" s="263">
        <v>0</v>
      </c>
      <c r="F11" s="39"/>
      <c r="G11" s="309">
        <f t="shared" si="0"/>
        <v>0</v>
      </c>
      <c r="H11" s="310">
        <v>0</v>
      </c>
      <c r="I11" s="310">
        <v>0</v>
      </c>
      <c r="J11" s="310">
        <v>0</v>
      </c>
      <c r="K11" s="310">
        <v>0</v>
      </c>
      <c r="L11" s="310">
        <v>0</v>
      </c>
      <c r="M11" s="310">
        <v>0</v>
      </c>
      <c r="N11" s="311">
        <v>0</v>
      </c>
      <c r="O11" s="355"/>
    </row>
    <row r="12" spans="1:15">
      <c r="A12" s="36" t="s">
        <v>286</v>
      </c>
      <c r="B12" s="265"/>
      <c r="C12" s="37" t="s">
        <v>287</v>
      </c>
      <c r="D12" s="39"/>
      <c r="E12" s="263">
        <v>0</v>
      </c>
      <c r="F12" s="39"/>
      <c r="G12" s="309">
        <f t="shared" si="0"/>
        <v>0</v>
      </c>
      <c r="H12" s="310">
        <v>0</v>
      </c>
      <c r="I12" s="310">
        <v>0</v>
      </c>
      <c r="J12" s="310">
        <v>0</v>
      </c>
      <c r="K12" s="310">
        <v>0</v>
      </c>
      <c r="L12" s="310">
        <v>0</v>
      </c>
      <c r="M12" s="310">
        <v>0</v>
      </c>
      <c r="N12" s="311">
        <v>0</v>
      </c>
      <c r="O12" s="355"/>
    </row>
    <row r="13" spans="1:15">
      <c r="A13" s="40" t="s">
        <v>288</v>
      </c>
      <c r="B13" s="265"/>
      <c r="C13" s="266"/>
      <c r="D13" s="41">
        <f t="shared" ref="D13:N13" si="1">SUM(D7:D12)</f>
        <v>0</v>
      </c>
      <c r="E13" s="42">
        <f t="shared" si="1"/>
        <v>0</v>
      </c>
      <c r="F13" s="41">
        <f t="shared" si="1"/>
        <v>0</v>
      </c>
      <c r="G13" s="43">
        <f t="shared" si="1"/>
        <v>0</v>
      </c>
      <c r="H13" s="43">
        <f t="shared" si="1"/>
        <v>0</v>
      </c>
      <c r="I13" s="43">
        <f t="shared" si="1"/>
        <v>0</v>
      </c>
      <c r="J13" s="43">
        <f t="shared" si="1"/>
        <v>0</v>
      </c>
      <c r="K13" s="43">
        <f t="shared" si="1"/>
        <v>0</v>
      </c>
      <c r="L13" s="43">
        <f t="shared" si="1"/>
        <v>0</v>
      </c>
      <c r="M13" s="43">
        <f t="shared" si="1"/>
        <v>0</v>
      </c>
      <c r="N13" s="43">
        <f t="shared" si="1"/>
        <v>0</v>
      </c>
      <c r="O13" s="355"/>
    </row>
    <row r="14" spans="1:15">
      <c r="A14" s="127" t="s">
        <v>289</v>
      </c>
      <c r="B14" s="128"/>
      <c r="C14" s="129"/>
      <c r="D14" s="128"/>
      <c r="E14" s="128"/>
      <c r="F14" s="128"/>
      <c r="G14" s="89"/>
      <c r="H14" s="89"/>
      <c r="I14" s="89"/>
      <c r="J14" s="89"/>
      <c r="K14" s="89"/>
      <c r="L14" s="89"/>
      <c r="M14" s="89"/>
      <c r="N14" s="89"/>
      <c r="O14" s="89"/>
    </row>
    <row r="15" spans="1:15">
      <c r="A15" s="264" t="s">
        <v>290</v>
      </c>
      <c r="B15" s="264"/>
      <c r="C15" s="44">
        <v>253</v>
      </c>
      <c r="D15" s="45"/>
      <c r="E15" s="263"/>
      <c r="F15" s="45"/>
      <c r="G15" s="357"/>
      <c r="H15" s="310">
        <v>0</v>
      </c>
      <c r="I15" s="310">
        <v>0</v>
      </c>
      <c r="J15" s="310">
        <v>0</v>
      </c>
      <c r="K15" s="310">
        <v>0</v>
      </c>
      <c r="L15" s="310"/>
      <c r="M15" s="310"/>
      <c r="N15" s="311">
        <v>0</v>
      </c>
      <c r="O15" s="326"/>
    </row>
    <row r="16" spans="1:15">
      <c r="A16" s="264" t="s">
        <v>291</v>
      </c>
      <c r="B16" s="264"/>
      <c r="C16" s="44">
        <v>253</v>
      </c>
      <c r="D16" s="45"/>
      <c r="E16" s="263"/>
      <c r="F16" s="45"/>
      <c r="G16" s="357"/>
      <c r="H16" s="310">
        <v>0</v>
      </c>
      <c r="I16" s="310">
        <v>0</v>
      </c>
      <c r="J16" s="310">
        <v>0</v>
      </c>
      <c r="K16" s="310">
        <v>0</v>
      </c>
      <c r="L16" s="310"/>
      <c r="M16" s="310"/>
      <c r="N16" s="311">
        <v>0</v>
      </c>
      <c r="O16" s="326"/>
    </row>
    <row r="17" spans="1:15">
      <c r="A17" s="264" t="s">
        <v>292</v>
      </c>
      <c r="B17" s="264"/>
      <c r="C17" s="44">
        <v>253</v>
      </c>
      <c r="D17" s="267"/>
      <c r="E17" s="263"/>
      <c r="F17" s="267"/>
      <c r="G17" s="357"/>
      <c r="H17" s="310">
        <v>0</v>
      </c>
      <c r="I17" s="310">
        <v>0</v>
      </c>
      <c r="J17" s="310">
        <v>0</v>
      </c>
      <c r="K17" s="310">
        <v>0</v>
      </c>
      <c r="L17" s="310"/>
      <c r="M17" s="310"/>
      <c r="N17" s="311">
        <v>0</v>
      </c>
      <c r="O17" s="355"/>
    </row>
    <row r="18" spans="1:15">
      <c r="A18" s="264" t="s">
        <v>290</v>
      </c>
      <c r="B18" s="264"/>
      <c r="C18" s="44">
        <v>253</v>
      </c>
      <c r="D18" s="267"/>
      <c r="E18" s="263"/>
      <c r="F18" s="267"/>
      <c r="G18" s="357"/>
      <c r="H18" s="310">
        <v>0</v>
      </c>
      <c r="I18" s="310">
        <v>0</v>
      </c>
      <c r="J18" s="310">
        <v>0</v>
      </c>
      <c r="K18" s="310">
        <v>0</v>
      </c>
      <c r="L18" s="310"/>
      <c r="M18" s="310"/>
      <c r="N18" s="311">
        <v>0</v>
      </c>
      <c r="O18" s="325"/>
    </row>
    <row r="19" spans="1:15">
      <c r="A19" s="73" t="s">
        <v>293</v>
      </c>
      <c r="B19" s="264"/>
      <c r="C19" s="44">
        <v>253</v>
      </c>
      <c r="D19" s="267"/>
      <c r="E19" s="263"/>
      <c r="F19" s="267"/>
      <c r="G19" s="357"/>
      <c r="H19" s="310">
        <v>0</v>
      </c>
      <c r="I19" s="310">
        <v>0</v>
      </c>
      <c r="J19" s="310">
        <v>0</v>
      </c>
      <c r="K19" s="310">
        <v>0</v>
      </c>
      <c r="L19" s="310"/>
      <c r="M19" s="310"/>
      <c r="N19" s="311">
        <v>0</v>
      </c>
      <c r="O19" s="355"/>
    </row>
    <row r="20" spans="1:15">
      <c r="A20" s="40" t="s">
        <v>294</v>
      </c>
      <c r="B20" s="265"/>
      <c r="C20" s="266"/>
      <c r="D20" s="267">
        <f t="shared" ref="D20:N20" si="2">SUM(D15:D19)</f>
        <v>0</v>
      </c>
      <c r="E20" s="42">
        <f t="shared" si="2"/>
        <v>0</v>
      </c>
      <c r="F20" s="267">
        <f t="shared" si="2"/>
        <v>0</v>
      </c>
      <c r="G20" s="43">
        <f t="shared" si="2"/>
        <v>0</v>
      </c>
      <c r="H20" s="43">
        <f t="shared" si="2"/>
        <v>0</v>
      </c>
      <c r="I20" s="43">
        <f t="shared" si="2"/>
        <v>0</v>
      </c>
      <c r="J20" s="43">
        <f t="shared" si="2"/>
        <v>0</v>
      </c>
      <c r="K20" s="43">
        <f t="shared" si="2"/>
        <v>0</v>
      </c>
      <c r="L20" s="43">
        <f t="shared" si="2"/>
        <v>0</v>
      </c>
      <c r="M20" s="43">
        <f t="shared" si="2"/>
        <v>0</v>
      </c>
      <c r="N20" s="43">
        <f t="shared" si="2"/>
        <v>0</v>
      </c>
      <c r="O20" s="355"/>
    </row>
    <row r="21" spans="1:15" s="7" customFormat="1">
      <c r="A21" s="127" t="s">
        <v>295</v>
      </c>
      <c r="B21" s="128"/>
      <c r="C21" s="129"/>
      <c r="D21" s="128"/>
      <c r="E21" s="128"/>
      <c r="F21" s="128"/>
      <c r="G21" s="89"/>
      <c r="H21" s="89"/>
      <c r="I21" s="89"/>
      <c r="J21" s="89"/>
      <c r="K21" s="89"/>
      <c r="L21" s="89"/>
      <c r="M21" s="89"/>
      <c r="N21" s="89"/>
      <c r="O21" s="89"/>
    </row>
    <row r="22" spans="1:15" ht="15.05" customHeight="1">
      <c r="A22" s="264" t="s">
        <v>296</v>
      </c>
      <c r="B22" s="36"/>
      <c r="C22" s="37" t="s">
        <v>297</v>
      </c>
      <c r="D22" s="38">
        <v>0</v>
      </c>
      <c r="E22" s="263">
        <v>0</v>
      </c>
      <c r="F22" s="38">
        <v>0</v>
      </c>
      <c r="G22" s="309">
        <v>0</v>
      </c>
      <c r="H22" s="310">
        <v>0</v>
      </c>
      <c r="I22" s="310">
        <v>0</v>
      </c>
      <c r="J22" s="310">
        <v>0</v>
      </c>
      <c r="K22" s="310">
        <v>0</v>
      </c>
      <c r="L22" s="310">
        <v>0</v>
      </c>
      <c r="M22" s="310">
        <v>0</v>
      </c>
      <c r="N22" s="311">
        <v>0</v>
      </c>
      <c r="O22" s="355"/>
    </row>
    <row r="23" spans="1:15">
      <c r="A23" s="264" t="s">
        <v>298</v>
      </c>
      <c r="B23" s="36"/>
      <c r="C23" s="44" t="s">
        <v>299</v>
      </c>
      <c r="D23" s="45"/>
      <c r="E23" s="263">
        <v>0</v>
      </c>
      <c r="F23" s="45"/>
      <c r="G23" s="309">
        <v>0</v>
      </c>
      <c r="H23" s="310">
        <v>0</v>
      </c>
      <c r="I23" s="310">
        <v>0</v>
      </c>
      <c r="J23" s="310">
        <v>0</v>
      </c>
      <c r="K23" s="310">
        <v>0</v>
      </c>
      <c r="L23" s="310">
        <v>0</v>
      </c>
      <c r="M23" s="310">
        <v>0</v>
      </c>
      <c r="N23" s="311">
        <v>0</v>
      </c>
      <c r="O23" s="355"/>
    </row>
    <row r="24" spans="1:15">
      <c r="A24" s="264" t="s">
        <v>300</v>
      </c>
      <c r="B24" s="36"/>
      <c r="C24" s="44" t="s">
        <v>301</v>
      </c>
      <c r="D24" s="45"/>
      <c r="E24" s="263">
        <v>0</v>
      </c>
      <c r="F24" s="45"/>
      <c r="G24" s="309">
        <v>0</v>
      </c>
      <c r="H24" s="310">
        <v>0</v>
      </c>
      <c r="I24" s="310">
        <v>0</v>
      </c>
      <c r="J24" s="310">
        <v>0</v>
      </c>
      <c r="K24" s="310">
        <v>0</v>
      </c>
      <c r="L24" s="310">
        <v>0</v>
      </c>
      <c r="M24" s="310">
        <v>0</v>
      </c>
      <c r="N24" s="311">
        <v>0</v>
      </c>
      <c r="O24" s="325"/>
    </row>
    <row r="25" spans="1:15">
      <c r="A25" s="264" t="s">
        <v>302</v>
      </c>
      <c r="B25" s="36"/>
      <c r="C25" s="44" t="s">
        <v>303</v>
      </c>
      <c r="D25" s="45"/>
      <c r="E25" s="263">
        <v>0</v>
      </c>
      <c r="F25" s="45"/>
      <c r="G25" s="309">
        <v>0</v>
      </c>
      <c r="H25" s="310">
        <v>0</v>
      </c>
      <c r="I25" s="310">
        <v>0</v>
      </c>
      <c r="J25" s="310">
        <v>0</v>
      </c>
      <c r="K25" s="310">
        <v>0</v>
      </c>
      <c r="L25" s="310">
        <v>0</v>
      </c>
      <c r="M25" s="310">
        <v>0</v>
      </c>
      <c r="N25" s="311">
        <v>0</v>
      </c>
      <c r="O25" s="355"/>
    </row>
    <row r="26" spans="1:15">
      <c r="A26" s="264" t="s">
        <v>304</v>
      </c>
      <c r="B26" s="36"/>
      <c r="C26" s="44">
        <v>251</v>
      </c>
      <c r="D26" s="45"/>
      <c r="E26" s="263">
        <v>0</v>
      </c>
      <c r="F26" s="45"/>
      <c r="G26" s="309">
        <v>0</v>
      </c>
      <c r="H26" s="310">
        <v>0</v>
      </c>
      <c r="I26" s="310">
        <v>0</v>
      </c>
      <c r="J26" s="310">
        <v>0</v>
      </c>
      <c r="K26" s="310">
        <v>0</v>
      </c>
      <c r="L26" s="310">
        <v>0</v>
      </c>
      <c r="M26" s="310">
        <v>0</v>
      </c>
      <c r="N26" s="311">
        <v>0</v>
      </c>
      <c r="O26" s="355"/>
    </row>
    <row r="27" spans="1:15">
      <c r="A27" s="264" t="s">
        <v>305</v>
      </c>
      <c r="B27" s="36"/>
      <c r="C27" s="44">
        <v>252</v>
      </c>
      <c r="D27" s="533">
        <v>6</v>
      </c>
      <c r="E27" s="263">
        <v>1664</v>
      </c>
      <c r="F27" s="533">
        <v>6</v>
      </c>
      <c r="G27" s="309">
        <f t="shared" ref="G27:G32" si="3">SUM(H27:N27)</f>
        <v>1815</v>
      </c>
      <c r="H27" s="310">
        <v>550</v>
      </c>
      <c r="I27" s="310">
        <v>1265</v>
      </c>
      <c r="J27" s="310">
        <v>0</v>
      </c>
      <c r="K27" s="310">
        <v>0</v>
      </c>
      <c r="L27" s="310">
        <v>0</v>
      </c>
      <c r="M27" s="310">
        <v>0</v>
      </c>
      <c r="N27" s="311">
        <v>0</v>
      </c>
      <c r="O27" s="355"/>
    </row>
    <row r="28" spans="1:15">
      <c r="A28" s="264" t="s">
        <v>306</v>
      </c>
      <c r="B28" s="36"/>
      <c r="C28" s="44">
        <v>252</v>
      </c>
      <c r="D28" s="533">
        <v>35</v>
      </c>
      <c r="E28" s="263">
        <v>8120</v>
      </c>
      <c r="F28" s="533">
        <v>35</v>
      </c>
      <c r="G28" s="309">
        <f t="shared" si="3"/>
        <v>7855</v>
      </c>
      <c r="H28" s="310">
        <v>150</v>
      </c>
      <c r="I28" s="310">
        <v>7705</v>
      </c>
      <c r="J28" s="310">
        <v>0</v>
      </c>
      <c r="K28" s="310">
        <v>0</v>
      </c>
      <c r="L28" s="310">
        <v>0</v>
      </c>
      <c r="M28" s="310">
        <v>0</v>
      </c>
      <c r="N28" s="311">
        <v>0</v>
      </c>
      <c r="O28" s="355"/>
    </row>
    <row r="29" spans="1:15" s="354" customFormat="1">
      <c r="A29" s="264" t="s">
        <v>307</v>
      </c>
      <c r="B29" s="36"/>
      <c r="C29" s="44">
        <v>252</v>
      </c>
      <c r="D29" s="533">
        <v>1</v>
      </c>
      <c r="E29" s="263">
        <v>1525</v>
      </c>
      <c r="F29" s="533">
        <v>1</v>
      </c>
      <c r="G29" s="309">
        <f t="shared" si="3"/>
        <v>1800</v>
      </c>
      <c r="H29" s="310"/>
      <c r="I29" s="310">
        <v>1800</v>
      </c>
      <c r="J29" s="310">
        <v>0</v>
      </c>
      <c r="K29" s="310">
        <v>0</v>
      </c>
      <c r="L29" s="310"/>
      <c r="M29" s="310"/>
      <c r="N29" s="311"/>
      <c r="O29" s="325"/>
    </row>
    <row r="30" spans="1:15">
      <c r="A30" s="264" t="s">
        <v>308</v>
      </c>
      <c r="B30" s="36"/>
      <c r="C30" s="44">
        <v>252</v>
      </c>
      <c r="D30" s="533">
        <v>9</v>
      </c>
      <c r="E30" s="263">
        <v>5856</v>
      </c>
      <c r="F30" s="533">
        <v>9</v>
      </c>
      <c r="G30" s="309">
        <f t="shared" si="3"/>
        <v>6275</v>
      </c>
      <c r="H30" s="310">
        <v>0</v>
      </c>
      <c r="I30" s="310">
        <v>5100</v>
      </c>
      <c r="J30" s="310"/>
      <c r="K30" s="310">
        <v>1175</v>
      </c>
      <c r="L30" s="310">
        <v>0</v>
      </c>
      <c r="M30" s="310">
        <v>0</v>
      </c>
      <c r="N30" s="311">
        <v>0</v>
      </c>
      <c r="O30" s="355"/>
    </row>
    <row r="31" spans="1:15" ht="103.95">
      <c r="A31" s="264" t="s">
        <v>309</v>
      </c>
      <c r="B31" s="36"/>
      <c r="C31" s="44">
        <v>252</v>
      </c>
      <c r="D31" s="533">
        <v>28</v>
      </c>
      <c r="E31" s="263">
        <v>9583</v>
      </c>
      <c r="F31" s="533">
        <f>30-1</f>
        <v>29</v>
      </c>
      <c r="G31" s="309">
        <f t="shared" si="3"/>
        <v>10856</v>
      </c>
      <c r="H31" s="310">
        <v>3200</v>
      </c>
      <c r="I31" s="310">
        <v>5400</v>
      </c>
      <c r="J31" s="310"/>
      <c r="K31" s="310">
        <v>2256</v>
      </c>
      <c r="L31" s="310">
        <v>0</v>
      </c>
      <c r="M31" s="310"/>
      <c r="N31" s="311">
        <v>0</v>
      </c>
      <c r="O31" s="325" t="s">
        <v>310</v>
      </c>
    </row>
    <row r="32" spans="1:15" ht="148.44999999999999">
      <c r="A32" s="264" t="s">
        <v>311</v>
      </c>
      <c r="B32" s="36"/>
      <c r="C32" s="44">
        <v>252</v>
      </c>
      <c r="D32" s="533">
        <v>27</v>
      </c>
      <c r="E32" s="263">
        <v>7811</v>
      </c>
      <c r="F32" s="533">
        <f>29-2</f>
        <v>27</v>
      </c>
      <c r="G32" s="309">
        <f t="shared" si="3"/>
        <v>10700</v>
      </c>
      <c r="H32" s="310">
        <v>1600</v>
      </c>
      <c r="I32" s="310">
        <v>9100</v>
      </c>
      <c r="J32" s="310"/>
      <c r="K32" s="310"/>
      <c r="L32" s="310">
        <v>0</v>
      </c>
      <c r="M32" s="310">
        <v>0</v>
      </c>
      <c r="N32" s="311">
        <v>0</v>
      </c>
      <c r="O32" s="325" t="s">
        <v>312</v>
      </c>
    </row>
    <row r="33" spans="1:15">
      <c r="A33" s="264" t="s">
        <v>313</v>
      </c>
      <c r="B33" s="36"/>
      <c r="C33" s="44">
        <v>252</v>
      </c>
      <c r="D33" s="45"/>
      <c r="E33" s="263">
        <v>0</v>
      </c>
      <c r="F33" s="45"/>
      <c r="G33" s="309">
        <v>0</v>
      </c>
      <c r="H33" s="310">
        <v>0</v>
      </c>
      <c r="I33" s="310">
        <v>0</v>
      </c>
      <c r="J33" s="310">
        <v>0</v>
      </c>
      <c r="K33" s="310">
        <v>0</v>
      </c>
      <c r="L33" s="310">
        <v>0</v>
      </c>
      <c r="M33" s="310">
        <v>0</v>
      </c>
      <c r="N33" s="311">
        <v>0</v>
      </c>
      <c r="O33" s="355"/>
    </row>
    <row r="34" spans="1:15">
      <c r="A34" s="264" t="s">
        <v>313</v>
      </c>
      <c r="B34" s="36"/>
      <c r="C34" s="44">
        <v>252</v>
      </c>
      <c r="D34" s="45"/>
      <c r="E34" s="263">
        <v>0</v>
      </c>
      <c r="F34" s="45"/>
      <c r="G34" s="309">
        <v>0</v>
      </c>
      <c r="H34" s="310">
        <v>0</v>
      </c>
      <c r="I34" s="310">
        <v>0</v>
      </c>
      <c r="J34" s="310">
        <v>0</v>
      </c>
      <c r="K34" s="310">
        <v>0</v>
      </c>
      <c r="L34" s="310">
        <v>0</v>
      </c>
      <c r="M34" s="310">
        <v>0</v>
      </c>
      <c r="N34" s="311">
        <v>0</v>
      </c>
      <c r="O34" s="355"/>
    </row>
    <row r="35" spans="1:15">
      <c r="A35" s="264" t="s">
        <v>313</v>
      </c>
      <c r="B35" s="36"/>
      <c r="C35" s="44">
        <v>252</v>
      </c>
      <c r="D35" s="45"/>
      <c r="E35" s="263">
        <v>0</v>
      </c>
      <c r="F35" s="45"/>
      <c r="G35" s="309">
        <v>0</v>
      </c>
      <c r="H35" s="310">
        <v>0</v>
      </c>
      <c r="I35" s="310">
        <v>0</v>
      </c>
      <c r="J35" s="310">
        <v>0</v>
      </c>
      <c r="K35" s="310">
        <v>0</v>
      </c>
      <c r="L35" s="310">
        <v>0</v>
      </c>
      <c r="M35" s="310">
        <v>0</v>
      </c>
      <c r="N35" s="311">
        <v>0</v>
      </c>
      <c r="O35" s="355"/>
    </row>
    <row r="36" spans="1:15">
      <c r="A36" s="264" t="s">
        <v>314</v>
      </c>
      <c r="B36" s="36"/>
      <c r="C36" s="44">
        <v>252</v>
      </c>
      <c r="D36" s="45"/>
      <c r="E36" s="263">
        <v>0</v>
      </c>
      <c r="F36" s="45"/>
      <c r="G36" s="309">
        <v>0</v>
      </c>
      <c r="H36" s="310">
        <v>0</v>
      </c>
      <c r="I36" s="310">
        <v>0</v>
      </c>
      <c r="J36" s="310">
        <v>0</v>
      </c>
      <c r="K36" s="310">
        <v>0</v>
      </c>
      <c r="L36" s="310">
        <v>0</v>
      </c>
      <c r="M36" s="310">
        <v>0</v>
      </c>
      <c r="N36" s="311">
        <v>0</v>
      </c>
      <c r="O36" s="355"/>
    </row>
    <row r="37" spans="1:15">
      <c r="A37" s="264" t="s">
        <v>315</v>
      </c>
      <c r="B37" s="36"/>
      <c r="C37" s="44">
        <v>253</v>
      </c>
      <c r="D37" s="264"/>
      <c r="E37" s="263">
        <v>0</v>
      </c>
      <c r="F37" s="264"/>
      <c r="G37" s="309">
        <v>0</v>
      </c>
      <c r="H37" s="310">
        <v>0</v>
      </c>
      <c r="I37" s="310">
        <v>0</v>
      </c>
      <c r="J37" s="310">
        <v>0</v>
      </c>
      <c r="K37" s="310">
        <v>0</v>
      </c>
      <c r="L37" s="310">
        <v>0</v>
      </c>
      <c r="M37" s="310">
        <v>0</v>
      </c>
      <c r="N37" s="311">
        <v>0</v>
      </c>
      <c r="O37" s="355"/>
    </row>
    <row r="38" spans="1:15">
      <c r="A38" s="264" t="s">
        <v>316</v>
      </c>
      <c r="B38" s="36"/>
      <c r="C38" s="44">
        <v>255</v>
      </c>
      <c r="D38" s="264"/>
      <c r="E38" s="263">
        <v>0</v>
      </c>
      <c r="F38" s="264"/>
      <c r="G38" s="309">
        <v>0</v>
      </c>
      <c r="H38" s="310">
        <v>0</v>
      </c>
      <c r="I38" s="310">
        <v>0</v>
      </c>
      <c r="J38" s="310">
        <v>0</v>
      </c>
      <c r="K38" s="310">
        <v>0</v>
      </c>
      <c r="L38" s="310">
        <v>0</v>
      </c>
      <c r="M38" s="310">
        <v>0</v>
      </c>
      <c r="N38" s="311">
        <v>0</v>
      </c>
      <c r="O38" s="355"/>
    </row>
    <row r="39" spans="1:15">
      <c r="A39" s="264" t="s">
        <v>317</v>
      </c>
      <c r="B39" s="36"/>
      <c r="C39" s="44">
        <v>256</v>
      </c>
      <c r="D39" s="264"/>
      <c r="E39" s="263">
        <v>0</v>
      </c>
      <c r="F39" s="264"/>
      <c r="G39" s="309">
        <v>0</v>
      </c>
      <c r="H39" s="310">
        <v>0</v>
      </c>
      <c r="I39" s="310">
        <v>0</v>
      </c>
      <c r="J39" s="310">
        <v>0</v>
      </c>
      <c r="K39" s="310">
        <v>0</v>
      </c>
      <c r="L39" s="310">
        <v>0</v>
      </c>
      <c r="M39" s="310">
        <v>0</v>
      </c>
      <c r="N39" s="311">
        <v>0</v>
      </c>
      <c r="O39" s="355"/>
    </row>
    <row r="40" spans="1:15">
      <c r="A40" s="264" t="s">
        <v>318</v>
      </c>
      <c r="B40" s="36"/>
      <c r="C40" s="44">
        <v>257</v>
      </c>
      <c r="D40" s="264"/>
      <c r="E40" s="263">
        <v>0</v>
      </c>
      <c r="F40" s="264"/>
      <c r="G40" s="309">
        <v>0</v>
      </c>
      <c r="H40" s="310">
        <v>0</v>
      </c>
      <c r="I40" s="310">
        <v>0</v>
      </c>
      <c r="J40" s="310">
        <v>0</v>
      </c>
      <c r="K40" s="310">
        <v>0</v>
      </c>
      <c r="L40" s="310">
        <v>0</v>
      </c>
      <c r="M40" s="310">
        <v>0</v>
      </c>
      <c r="N40" s="311">
        <v>0</v>
      </c>
      <c r="O40" s="355"/>
    </row>
    <row r="41" spans="1:15">
      <c r="A41" s="264" t="s">
        <v>319</v>
      </c>
      <c r="B41" s="36"/>
      <c r="C41" s="44" t="s">
        <v>320</v>
      </c>
      <c r="D41" s="264"/>
      <c r="E41" s="263">
        <v>0</v>
      </c>
      <c r="F41" s="264"/>
      <c r="G41" s="309">
        <v>0</v>
      </c>
      <c r="H41" s="310">
        <v>0</v>
      </c>
      <c r="I41" s="310">
        <v>0</v>
      </c>
      <c r="J41" s="310">
        <v>0</v>
      </c>
      <c r="K41" s="310">
        <v>0</v>
      </c>
      <c r="L41" s="310">
        <v>0</v>
      </c>
      <c r="M41" s="310">
        <v>0</v>
      </c>
      <c r="N41" s="311">
        <v>0</v>
      </c>
      <c r="O41" s="355"/>
    </row>
    <row r="42" spans="1:15" s="381" customFormat="1">
      <c r="A42" s="632" t="s">
        <v>321</v>
      </c>
      <c r="B42" s="57"/>
      <c r="C42" s="664" t="s">
        <v>322</v>
      </c>
      <c r="D42" s="632"/>
      <c r="E42" s="263">
        <v>0</v>
      </c>
      <c r="F42" s="632"/>
      <c r="G42" s="309">
        <f t="shared" ref="G42:G43" si="4">SUM(H42:N42)</f>
        <v>0</v>
      </c>
      <c r="H42" s="310">
        <v>0</v>
      </c>
      <c r="I42" s="310">
        <v>0</v>
      </c>
      <c r="J42" s="310">
        <v>0</v>
      </c>
      <c r="K42" s="310">
        <v>0</v>
      </c>
      <c r="L42" s="310">
        <v>0</v>
      </c>
      <c r="M42" s="310">
        <v>0</v>
      </c>
      <c r="N42" s="311">
        <v>0</v>
      </c>
      <c r="O42" s="355"/>
    </row>
    <row r="43" spans="1:15" s="381" customFormat="1" ht="44.55">
      <c r="A43" s="632" t="s">
        <v>323</v>
      </c>
      <c r="B43" s="57"/>
      <c r="C43" s="664" t="s">
        <v>324</v>
      </c>
      <c r="D43" s="632"/>
      <c r="E43" s="263">
        <v>0</v>
      </c>
      <c r="F43" s="632"/>
      <c r="G43" s="309">
        <f t="shared" si="4"/>
        <v>-4502</v>
      </c>
      <c r="H43" s="310">
        <f>3099-5500</f>
        <v>-2401</v>
      </c>
      <c r="I43" s="310">
        <f>28842-30370</f>
        <v>-1528</v>
      </c>
      <c r="J43" s="310">
        <v>0</v>
      </c>
      <c r="K43" s="310">
        <f>2618-3431+240</f>
        <v>-573</v>
      </c>
      <c r="L43" s="310">
        <v>0</v>
      </c>
      <c r="M43" s="310">
        <v>0</v>
      </c>
      <c r="N43" s="311">
        <v>0</v>
      </c>
      <c r="O43" s="325" t="s">
        <v>325</v>
      </c>
    </row>
    <row r="44" spans="1:15">
      <c r="A44" s="40" t="s">
        <v>326</v>
      </c>
      <c r="B44" s="265"/>
      <c r="C44" s="266"/>
      <c r="D44" s="366">
        <f>SUM(D27:D43)</f>
        <v>106</v>
      </c>
      <c r="E44" s="42">
        <f t="shared" ref="E44:N44" si="5">SUM(E22:E43)</f>
        <v>34559</v>
      </c>
      <c r="F44" s="366">
        <f>SUM(F27:F43)</f>
        <v>107</v>
      </c>
      <c r="G44" s="43">
        <f t="shared" si="5"/>
        <v>34799</v>
      </c>
      <c r="H44" s="43">
        <f t="shared" si="5"/>
        <v>3099</v>
      </c>
      <c r="I44" s="43">
        <f t="shared" si="5"/>
        <v>28842</v>
      </c>
      <c r="J44" s="43">
        <f t="shared" si="5"/>
        <v>0</v>
      </c>
      <c r="K44" s="43">
        <f>SUM(K22:K43)</f>
        <v>2858</v>
      </c>
      <c r="L44" s="43">
        <f t="shared" si="5"/>
        <v>0</v>
      </c>
      <c r="M44" s="43">
        <f t="shared" si="5"/>
        <v>0</v>
      </c>
      <c r="N44" s="43">
        <f t="shared" si="5"/>
        <v>0</v>
      </c>
      <c r="O44" s="355"/>
    </row>
    <row r="45" spans="1:15">
      <c r="A45" s="40" t="s">
        <v>327</v>
      </c>
      <c r="B45" s="51"/>
      <c r="C45" s="149"/>
      <c r="D45" s="267"/>
      <c r="E45" s="241"/>
      <c r="F45" s="267"/>
      <c r="G45" s="240">
        <f>SUM(H45:M45)</f>
        <v>0</v>
      </c>
      <c r="H45" s="240"/>
      <c r="I45" s="240"/>
      <c r="J45" s="240"/>
      <c r="K45" s="240"/>
      <c r="L45" s="240"/>
      <c r="M45" s="240">
        <v>0</v>
      </c>
      <c r="N45" s="240"/>
      <c r="O45" s="355"/>
    </row>
    <row r="46" spans="1:15">
      <c r="A46" s="40" t="s">
        <v>328</v>
      </c>
      <c r="B46" s="46"/>
      <c r="C46" s="47"/>
      <c r="D46" s="48"/>
      <c r="E46" s="42">
        <f>E44+E20+E13-E45</f>
        <v>34559</v>
      </c>
      <c r="F46" s="48"/>
      <c r="G46" s="17">
        <f t="shared" ref="G46:N46" si="6">G44+G20+G13-G45</f>
        <v>34799</v>
      </c>
      <c r="H46" s="17">
        <f t="shared" si="6"/>
        <v>3099</v>
      </c>
      <c r="I46" s="17">
        <f t="shared" si="6"/>
        <v>28842</v>
      </c>
      <c r="J46" s="17">
        <f t="shared" si="6"/>
        <v>0</v>
      </c>
      <c r="K46" s="17">
        <f t="shared" si="6"/>
        <v>2858</v>
      </c>
      <c r="L46" s="17">
        <f t="shared" si="6"/>
        <v>0</v>
      </c>
      <c r="M46" s="17">
        <f t="shared" si="6"/>
        <v>0</v>
      </c>
      <c r="N46" s="17">
        <f t="shared" si="6"/>
        <v>0</v>
      </c>
      <c r="O46" s="353"/>
    </row>
    <row r="48" spans="1:15" ht="15.05" customHeight="1">
      <c r="A48" s="746" t="s">
        <v>329</v>
      </c>
      <c r="B48" s="747"/>
      <c r="C48" s="747"/>
      <c r="D48" s="747"/>
      <c r="E48" s="747"/>
      <c r="F48" s="747"/>
      <c r="G48" s="747"/>
      <c r="H48" s="747"/>
      <c r="I48" s="747"/>
      <c r="J48" s="747"/>
      <c r="K48" s="747"/>
      <c r="L48" s="747"/>
      <c r="M48" s="747"/>
      <c r="N48" s="747"/>
      <c r="O48" s="748"/>
    </row>
    <row r="49" spans="1:15">
      <c r="A49" s="749"/>
      <c r="B49" s="750"/>
      <c r="C49" s="750"/>
      <c r="D49" s="750"/>
      <c r="E49" s="750"/>
      <c r="F49" s="750"/>
      <c r="G49" s="750"/>
      <c r="H49" s="750"/>
      <c r="I49" s="750"/>
      <c r="J49" s="750"/>
      <c r="K49" s="750"/>
      <c r="L49" s="750"/>
      <c r="M49" s="750"/>
      <c r="N49" s="750"/>
      <c r="O49" s="751"/>
    </row>
    <row r="50" spans="1:15">
      <c r="A50" s="752"/>
      <c r="B50" s="753"/>
      <c r="C50" s="753"/>
      <c r="D50" s="753"/>
      <c r="E50" s="753"/>
      <c r="F50" s="753"/>
      <c r="G50" s="753"/>
      <c r="H50" s="753"/>
      <c r="I50" s="753"/>
      <c r="J50" s="753"/>
      <c r="K50" s="753"/>
      <c r="L50" s="753"/>
      <c r="M50" s="753"/>
      <c r="N50" s="753"/>
      <c r="O50" s="754"/>
    </row>
    <row r="51" spans="1:15" ht="15.05" customHeight="1">
      <c r="A51" s="755"/>
      <c r="B51" s="756"/>
      <c r="C51" s="756"/>
      <c r="D51" s="756"/>
      <c r="E51" s="756"/>
      <c r="F51" s="756"/>
      <c r="G51" s="756"/>
      <c r="H51" s="756"/>
      <c r="I51" s="756"/>
      <c r="J51" s="756"/>
      <c r="K51" s="756"/>
      <c r="L51" s="756"/>
      <c r="M51" s="756"/>
      <c r="N51" s="756"/>
      <c r="O51" s="757"/>
    </row>
    <row r="52" spans="1:15">
      <c r="A52" s="758"/>
      <c r="B52" s="759"/>
      <c r="C52" s="759"/>
      <c r="D52" s="759"/>
      <c r="E52" s="759"/>
      <c r="F52" s="759"/>
      <c r="G52" s="759"/>
      <c r="H52" s="759"/>
      <c r="I52" s="759"/>
      <c r="J52" s="759"/>
      <c r="K52" s="759"/>
      <c r="L52" s="759"/>
      <c r="M52" s="759"/>
      <c r="N52" s="759"/>
      <c r="O52" s="760"/>
    </row>
    <row r="53" spans="1:15">
      <c r="A53" s="758"/>
      <c r="B53" s="759"/>
      <c r="C53" s="759"/>
      <c r="D53" s="759"/>
      <c r="E53" s="759"/>
      <c r="F53" s="759"/>
      <c r="G53" s="759"/>
      <c r="H53" s="759"/>
      <c r="I53" s="759"/>
      <c r="J53" s="759"/>
      <c r="K53" s="759"/>
      <c r="L53" s="759"/>
      <c r="M53" s="759"/>
      <c r="N53" s="759"/>
      <c r="O53" s="760"/>
    </row>
    <row r="54" spans="1:15">
      <c r="A54" s="761"/>
      <c r="B54" s="762"/>
      <c r="C54" s="762"/>
      <c r="D54" s="762"/>
      <c r="E54" s="762"/>
      <c r="F54" s="762"/>
      <c r="G54" s="762"/>
      <c r="H54" s="762"/>
      <c r="I54" s="762"/>
      <c r="J54" s="762"/>
      <c r="K54" s="762"/>
      <c r="L54" s="762"/>
      <c r="M54" s="762"/>
      <c r="N54" s="762"/>
      <c r="O54" s="763"/>
    </row>
    <row r="55" spans="1:15" ht="15.05" customHeight="1">
      <c r="A55" s="755"/>
      <c r="B55" s="756"/>
      <c r="C55" s="756"/>
      <c r="D55" s="756"/>
      <c r="E55" s="756"/>
      <c r="F55" s="756"/>
      <c r="G55" s="756"/>
      <c r="H55" s="756"/>
      <c r="I55" s="756"/>
      <c r="J55" s="756"/>
      <c r="K55" s="756"/>
      <c r="L55" s="756"/>
      <c r="M55" s="756"/>
      <c r="N55" s="756"/>
      <c r="O55" s="757"/>
    </row>
    <row r="56" spans="1:15">
      <c r="A56" s="758"/>
      <c r="B56" s="759"/>
      <c r="C56" s="759"/>
      <c r="D56" s="759"/>
      <c r="E56" s="759"/>
      <c r="F56" s="759"/>
      <c r="G56" s="759"/>
      <c r="H56" s="759"/>
      <c r="I56" s="759"/>
      <c r="J56" s="759"/>
      <c r="K56" s="759"/>
      <c r="L56" s="759"/>
      <c r="M56" s="759"/>
      <c r="N56" s="759"/>
      <c r="O56" s="760"/>
    </row>
    <row r="57" spans="1:15">
      <c r="A57" s="758"/>
      <c r="B57" s="759"/>
      <c r="C57" s="759"/>
      <c r="D57" s="759"/>
      <c r="E57" s="759"/>
      <c r="F57" s="759"/>
      <c r="G57" s="759"/>
      <c r="H57" s="759"/>
      <c r="I57" s="759"/>
      <c r="J57" s="759"/>
      <c r="K57" s="759"/>
      <c r="L57" s="759"/>
      <c r="M57" s="759"/>
      <c r="N57" s="759"/>
      <c r="O57" s="760"/>
    </row>
    <row r="58" spans="1:15">
      <c r="A58" s="761"/>
      <c r="B58" s="762"/>
      <c r="C58" s="762"/>
      <c r="D58" s="762"/>
      <c r="E58" s="762"/>
      <c r="F58" s="762"/>
      <c r="G58" s="762"/>
      <c r="H58" s="762"/>
      <c r="I58" s="762"/>
      <c r="J58" s="762"/>
      <c r="K58" s="762"/>
      <c r="L58" s="762"/>
      <c r="M58" s="762"/>
      <c r="N58" s="762"/>
      <c r="O58" s="763"/>
    </row>
    <row r="60" spans="1:15" ht="15.6" thickBot="1">
      <c r="A60" s="381"/>
      <c r="B60" s="381"/>
      <c r="C60" s="687"/>
      <c r="D60" s="381"/>
      <c r="E60" s="381"/>
      <c r="F60" s="381"/>
      <c r="G60" s="381"/>
      <c r="H60" s="381"/>
      <c r="I60" s="381"/>
      <c r="J60" s="381"/>
      <c r="K60" s="381"/>
      <c r="L60" s="381"/>
      <c r="M60" s="381"/>
      <c r="N60" s="381"/>
      <c r="O60" s="381"/>
    </row>
    <row r="61" spans="1:15" s="381" customFormat="1" ht="15.6">
      <c r="A61" s="764" t="s">
        <v>330</v>
      </c>
      <c r="B61" s="765"/>
      <c r="C61" s="765"/>
      <c r="D61" s="765"/>
      <c r="E61" s="765"/>
      <c r="F61" s="765"/>
      <c r="G61" s="581"/>
      <c r="H61" s="31"/>
      <c r="I61" s="31"/>
      <c r="J61" s="31"/>
      <c r="K61" s="31"/>
      <c r="L61" s="31"/>
      <c r="M61" s="31"/>
      <c r="N61" s="562"/>
    </row>
    <row r="62" spans="1:15" s="381" customFormat="1" ht="15.6">
      <c r="A62" s="738"/>
      <c r="B62" s="739"/>
      <c r="C62" s="739"/>
      <c r="D62" s="739"/>
      <c r="E62" s="739"/>
      <c r="F62" s="739"/>
      <c r="G62" s="582"/>
      <c r="H62" s="31"/>
      <c r="I62" s="31"/>
      <c r="J62" s="31"/>
      <c r="K62" s="31"/>
      <c r="L62" s="31"/>
      <c r="M62" s="31"/>
      <c r="N62" s="562"/>
    </row>
    <row r="63" spans="1:15" s="381" customFormat="1">
      <c r="A63" s="740" t="s">
        <v>331</v>
      </c>
      <c r="B63" s="741"/>
      <c r="C63" s="583"/>
      <c r="D63" s="583"/>
      <c r="E63" s="583"/>
      <c r="F63" s="583"/>
      <c r="G63" s="582"/>
      <c r="H63" s="31"/>
      <c r="I63" s="31"/>
      <c r="J63" s="31"/>
      <c r="K63" s="31"/>
      <c r="L63" s="31"/>
      <c r="M63" s="31"/>
      <c r="N63" s="562"/>
    </row>
    <row r="64" spans="1:15" s="381" customFormat="1">
      <c r="A64" s="584" t="s">
        <v>332</v>
      </c>
      <c r="B64" s="585">
        <f>+E46</f>
        <v>34559</v>
      </c>
      <c r="C64" s="586"/>
      <c r="D64" s="587"/>
      <c r="E64" s="587"/>
      <c r="F64" s="587"/>
      <c r="G64" s="582"/>
      <c r="H64" s="31"/>
      <c r="I64" s="31"/>
      <c r="J64" s="31"/>
      <c r="K64" s="31"/>
      <c r="L64" s="31"/>
      <c r="M64" s="31"/>
      <c r="N64" s="562"/>
    </row>
    <row r="65" spans="1:14" s="381" customFormat="1">
      <c r="A65" s="588" t="s">
        <v>333</v>
      </c>
      <c r="B65" s="589">
        <f>+G46</f>
        <v>34799</v>
      </c>
      <c r="C65" s="586"/>
      <c r="D65" s="587"/>
      <c r="E65" s="587"/>
      <c r="F65" s="587"/>
      <c r="G65" s="582"/>
      <c r="H65" s="31"/>
      <c r="I65" s="31"/>
      <c r="J65" s="31"/>
      <c r="K65" s="31"/>
      <c r="L65" s="31"/>
      <c r="M65" s="31"/>
      <c r="N65" s="562"/>
    </row>
    <row r="66" spans="1:14" s="381" customFormat="1">
      <c r="A66" s="590" t="s">
        <v>334</v>
      </c>
      <c r="B66" s="591">
        <f>+B65-B64</f>
        <v>240</v>
      </c>
      <c r="C66" s="586"/>
      <c r="D66" s="587"/>
      <c r="E66" s="587"/>
      <c r="F66" s="587"/>
      <c r="G66" s="582"/>
      <c r="H66" s="31"/>
      <c r="I66" s="31"/>
      <c r="J66" s="31"/>
      <c r="K66" s="31"/>
      <c r="L66" s="31"/>
      <c r="M66" s="31"/>
      <c r="N66" s="562"/>
    </row>
    <row r="67" spans="1:14" s="381" customFormat="1">
      <c r="A67" s="590" t="s">
        <v>335</v>
      </c>
      <c r="B67" s="592">
        <f>+B66/B64</f>
        <v>6.9446453890448217E-3</v>
      </c>
      <c r="C67" s="586"/>
      <c r="D67" s="587"/>
      <c r="E67" s="587"/>
      <c r="F67" s="587"/>
      <c r="G67" s="582"/>
      <c r="H67" s="31"/>
      <c r="I67" s="31"/>
      <c r="J67" s="31"/>
      <c r="K67" s="31"/>
      <c r="L67" s="31"/>
      <c r="M67" s="31"/>
      <c r="N67" s="562"/>
    </row>
    <row r="68" spans="1:14" s="381" customFormat="1">
      <c r="A68" s="593"/>
      <c r="B68" s="587"/>
      <c r="C68" s="686"/>
      <c r="D68" s="587"/>
      <c r="E68" s="587"/>
      <c r="F68" s="587"/>
      <c r="G68" s="582"/>
      <c r="H68" s="31"/>
      <c r="I68" s="31"/>
      <c r="J68" s="31"/>
      <c r="K68" s="31"/>
      <c r="L68" s="31"/>
      <c r="M68" s="31"/>
      <c r="N68" s="562"/>
    </row>
    <row r="69" spans="1:14" s="381" customFormat="1">
      <c r="A69" s="731" t="s">
        <v>336</v>
      </c>
      <c r="B69" s="732"/>
      <c r="C69" s="732"/>
      <c r="D69" s="732"/>
      <c r="E69" s="732"/>
      <c r="F69" s="732"/>
      <c r="G69" s="582"/>
      <c r="H69" s="31"/>
      <c r="I69" s="31"/>
      <c r="J69" s="31"/>
      <c r="K69" s="31"/>
      <c r="L69" s="31"/>
      <c r="M69" s="31"/>
      <c r="N69" s="562"/>
    </row>
    <row r="70" spans="1:14" s="381" customFormat="1">
      <c r="A70" s="742"/>
      <c r="B70" s="743"/>
      <c r="C70" s="743"/>
      <c r="D70" s="743"/>
      <c r="E70" s="743"/>
      <c r="F70" s="744"/>
      <c r="G70" s="582"/>
      <c r="H70" s="31"/>
      <c r="I70" s="31"/>
      <c r="J70" s="31"/>
      <c r="K70" s="31"/>
      <c r="L70" s="31"/>
      <c r="M70" s="31"/>
      <c r="N70" s="562"/>
    </row>
    <row r="71" spans="1:14" s="381" customFormat="1">
      <c r="A71" s="594"/>
      <c r="B71" s="595"/>
      <c r="C71" s="595"/>
      <c r="D71" s="595"/>
      <c r="E71" s="595"/>
      <c r="F71" s="595"/>
      <c r="G71" s="582"/>
      <c r="H71" s="31"/>
      <c r="I71" s="31"/>
      <c r="J71" s="31"/>
      <c r="K71" s="31"/>
      <c r="L71" s="31"/>
      <c r="M71" s="31"/>
      <c r="N71" s="562"/>
    </row>
    <row r="72" spans="1:14" s="381" customFormat="1">
      <c r="A72" s="596" t="s">
        <v>337</v>
      </c>
      <c r="B72" s="587"/>
      <c r="C72" s="686"/>
      <c r="D72" s="587"/>
      <c r="E72" s="587"/>
      <c r="F72" s="587"/>
      <c r="G72" s="582"/>
      <c r="H72" s="31"/>
      <c r="I72" s="31"/>
      <c r="J72" s="31"/>
      <c r="K72" s="31"/>
      <c r="L72" s="31"/>
      <c r="M72" s="31"/>
      <c r="N72" s="562"/>
    </row>
    <row r="73" spans="1:14" s="381" customFormat="1">
      <c r="A73" s="735"/>
      <c r="B73" s="736"/>
      <c r="C73" s="736"/>
      <c r="D73" s="736"/>
      <c r="E73" s="736"/>
      <c r="F73" s="737"/>
      <c r="G73" s="582"/>
      <c r="H73" s="31"/>
      <c r="I73" s="31"/>
      <c r="J73" s="31"/>
      <c r="K73" s="31"/>
      <c r="L73" s="31"/>
      <c r="M73" s="31"/>
      <c r="N73" s="562"/>
    </row>
    <row r="74" spans="1:14" s="381" customFormat="1">
      <c r="A74" s="593"/>
      <c r="B74" s="587"/>
      <c r="C74" s="686"/>
      <c r="D74" s="587"/>
      <c r="E74" s="587"/>
      <c r="F74" s="587"/>
      <c r="G74" s="582"/>
      <c r="H74" s="31"/>
      <c r="I74" s="31"/>
      <c r="J74" s="31"/>
      <c r="K74" s="31"/>
      <c r="L74" s="31"/>
      <c r="M74" s="31"/>
      <c r="N74" s="562"/>
    </row>
    <row r="75" spans="1:14" s="381" customFormat="1">
      <c r="A75" s="731" t="s">
        <v>338</v>
      </c>
      <c r="B75" s="732"/>
      <c r="C75" s="732"/>
      <c r="D75" s="732"/>
      <c r="E75" s="732"/>
      <c r="F75" s="732"/>
      <c r="G75" s="582"/>
      <c r="H75" s="31"/>
      <c r="I75" s="31"/>
      <c r="J75" s="31"/>
      <c r="K75" s="31"/>
      <c r="L75" s="31"/>
      <c r="M75" s="31"/>
      <c r="N75" s="562"/>
    </row>
    <row r="76" spans="1:14" s="381" customFormat="1">
      <c r="A76" s="733" t="s">
        <v>339</v>
      </c>
      <c r="B76" s="734"/>
      <c r="C76" s="734"/>
      <c r="D76" s="734"/>
      <c r="E76" s="734"/>
      <c r="F76" s="734"/>
      <c r="G76" s="582"/>
      <c r="H76" s="31"/>
      <c r="I76" s="31"/>
      <c r="J76" s="31"/>
      <c r="K76" s="31"/>
      <c r="L76" s="31"/>
      <c r="M76" s="31"/>
      <c r="N76" s="562"/>
    </row>
    <row r="77" spans="1:14" s="381" customFormat="1">
      <c r="A77" s="735"/>
      <c r="B77" s="736"/>
      <c r="C77" s="736"/>
      <c r="D77" s="736"/>
      <c r="E77" s="736"/>
      <c r="F77" s="737"/>
      <c r="G77" s="582"/>
      <c r="H77" s="31"/>
      <c r="I77" s="31"/>
      <c r="J77" s="31"/>
      <c r="K77" s="31"/>
      <c r="L77" s="31"/>
      <c r="M77" s="31"/>
      <c r="N77" s="562"/>
    </row>
    <row r="78" spans="1:14" s="381" customFormat="1">
      <c r="A78" s="596"/>
      <c r="B78" s="587"/>
      <c r="C78" s="686"/>
      <c r="D78" s="587"/>
      <c r="E78" s="587"/>
      <c r="F78" s="587"/>
      <c r="G78" s="582"/>
      <c r="H78" s="31"/>
      <c r="I78" s="31"/>
      <c r="J78" s="31"/>
      <c r="K78" s="31"/>
      <c r="L78" s="31"/>
      <c r="M78" s="31"/>
      <c r="N78" s="562"/>
    </row>
    <row r="79" spans="1:14" s="381" customFormat="1">
      <c r="A79" s="731" t="s">
        <v>340</v>
      </c>
      <c r="B79" s="732"/>
      <c r="C79" s="732"/>
      <c r="D79" s="732"/>
      <c r="E79" s="732"/>
      <c r="F79" s="587"/>
      <c r="G79" s="582"/>
      <c r="H79" s="31"/>
      <c r="I79" s="31"/>
      <c r="J79" s="31"/>
      <c r="K79" s="31"/>
      <c r="L79" s="31"/>
      <c r="M79" s="31"/>
      <c r="N79" s="562"/>
    </row>
    <row r="80" spans="1:14" s="381" customFormat="1">
      <c r="A80" s="728"/>
      <c r="B80" s="729"/>
      <c r="C80" s="729"/>
      <c r="D80" s="729"/>
      <c r="E80" s="729"/>
      <c r="F80" s="730"/>
      <c r="G80" s="582"/>
      <c r="H80" s="31"/>
      <c r="I80" s="31"/>
      <c r="J80" s="31"/>
      <c r="K80" s="31"/>
      <c r="L80" s="31"/>
      <c r="M80" s="31"/>
      <c r="N80" s="562"/>
    </row>
    <row r="81" spans="1:14" s="381" customFormat="1">
      <c r="A81" s="593"/>
      <c r="B81" s="587"/>
      <c r="C81" s="686"/>
      <c r="D81" s="587"/>
      <c r="E81" s="587"/>
      <c r="F81" s="587"/>
      <c r="G81" s="582"/>
      <c r="H81" s="31"/>
      <c r="I81" s="31"/>
      <c r="J81" s="31"/>
      <c r="K81" s="31"/>
      <c r="L81" s="31"/>
      <c r="M81" s="31"/>
      <c r="N81" s="562"/>
    </row>
    <row r="82" spans="1:14" s="381" customFormat="1">
      <c r="A82" s="596" t="s">
        <v>341</v>
      </c>
      <c r="B82" s="587"/>
      <c r="C82" s="686"/>
      <c r="D82" s="587"/>
      <c r="E82" s="587"/>
      <c r="F82" s="587"/>
      <c r="G82" s="582"/>
      <c r="H82" s="31"/>
      <c r="I82" s="31"/>
      <c r="J82" s="31"/>
      <c r="K82" s="31"/>
      <c r="L82" s="31"/>
      <c r="M82" s="31"/>
      <c r="N82" s="562"/>
    </row>
    <row r="83" spans="1:14" s="381" customFormat="1">
      <c r="A83" s="597" t="s">
        <v>342</v>
      </c>
      <c r="B83" s="587"/>
      <c r="C83" s="686"/>
      <c r="D83" s="587"/>
      <c r="E83" s="587"/>
      <c r="F83" s="587"/>
      <c r="G83" s="582"/>
      <c r="H83" s="31"/>
      <c r="I83" s="31"/>
      <c r="J83" s="31"/>
      <c r="K83" s="31"/>
      <c r="L83" s="31"/>
      <c r="M83" s="31"/>
      <c r="N83" s="562"/>
    </row>
    <row r="84" spans="1:14" s="381" customFormat="1">
      <c r="A84" s="719" t="s">
        <v>343</v>
      </c>
      <c r="B84" s="720"/>
      <c r="C84" s="720"/>
      <c r="D84" s="720"/>
      <c r="E84" s="720"/>
      <c r="F84" s="720"/>
      <c r="G84" s="582"/>
      <c r="H84" s="31"/>
      <c r="I84" s="31"/>
      <c r="J84" s="31"/>
      <c r="K84" s="31"/>
      <c r="L84" s="31"/>
      <c r="M84" s="31"/>
      <c r="N84" s="562"/>
    </row>
    <row r="85" spans="1:14" s="381" customFormat="1">
      <c r="A85" s="721"/>
      <c r="B85" s="722"/>
      <c r="C85" s="722"/>
      <c r="D85" s="722"/>
      <c r="E85" s="722"/>
      <c r="F85" s="723"/>
      <c r="G85" s="582"/>
      <c r="H85" s="31"/>
      <c r="I85" s="31"/>
      <c r="J85" s="31"/>
      <c r="K85" s="31"/>
      <c r="L85" s="31"/>
      <c r="M85" s="31"/>
      <c r="N85" s="562"/>
    </row>
    <row r="86" spans="1:14" s="381" customFormat="1">
      <c r="A86" s="724"/>
      <c r="B86" s="725"/>
      <c r="C86" s="725"/>
      <c r="D86" s="725"/>
      <c r="E86" s="725"/>
      <c r="F86" s="725"/>
      <c r="G86" s="582"/>
      <c r="H86" s="31"/>
      <c r="I86" s="31"/>
      <c r="J86" s="31"/>
      <c r="K86" s="31"/>
      <c r="L86" s="31"/>
      <c r="M86" s="31"/>
      <c r="N86" s="562"/>
    </row>
    <row r="87" spans="1:14" s="381" customFormat="1">
      <c r="A87" s="597" t="s">
        <v>344</v>
      </c>
      <c r="B87" s="587"/>
      <c r="C87" s="686"/>
      <c r="D87" s="587"/>
      <c r="E87" s="587"/>
      <c r="F87" s="587"/>
      <c r="G87" s="582"/>
      <c r="H87" s="31"/>
      <c r="I87" s="31"/>
      <c r="J87" s="31"/>
      <c r="K87" s="31"/>
      <c r="L87" s="31"/>
      <c r="M87" s="31"/>
      <c r="N87" s="562"/>
    </row>
    <row r="88" spans="1:14" s="381" customFormat="1">
      <c r="A88" s="726" t="s">
        <v>345</v>
      </c>
      <c r="B88" s="727"/>
      <c r="C88" s="727"/>
      <c r="D88" s="727"/>
      <c r="E88" s="727"/>
      <c r="F88" s="727"/>
      <c r="G88" s="582"/>
      <c r="H88" s="31"/>
      <c r="I88" s="31"/>
      <c r="J88" s="31"/>
      <c r="K88" s="31"/>
      <c r="L88" s="31"/>
      <c r="M88" s="31"/>
      <c r="N88" s="562"/>
    </row>
    <row r="89" spans="1:14" s="381" customFormat="1">
      <c r="A89" s="728"/>
      <c r="B89" s="729"/>
      <c r="C89" s="729"/>
      <c r="D89" s="729"/>
      <c r="E89" s="729"/>
      <c r="F89" s="730"/>
      <c r="G89" s="582"/>
      <c r="H89" s="31"/>
      <c r="I89" s="31"/>
      <c r="J89" s="31"/>
      <c r="K89" s="31"/>
      <c r="L89" s="31"/>
      <c r="M89" s="31"/>
      <c r="N89" s="562"/>
    </row>
    <row r="90" spans="1:14" s="381" customFormat="1" ht="15.6" thickBot="1">
      <c r="A90" s="598"/>
      <c r="B90" s="599"/>
      <c r="C90" s="600"/>
      <c r="D90" s="599"/>
      <c r="E90" s="599"/>
      <c r="F90" s="599"/>
      <c r="G90" s="601"/>
      <c r="H90" s="31"/>
      <c r="I90" s="31"/>
      <c r="J90" s="31"/>
      <c r="K90" s="31"/>
      <c r="L90" s="31"/>
      <c r="M90" s="31"/>
      <c r="N90" s="562"/>
    </row>
    <row r="91" spans="1:14" s="381" customFormat="1">
      <c r="A91" s="31"/>
      <c r="B91" s="31"/>
      <c r="C91" s="32"/>
      <c r="D91" s="31"/>
      <c r="E91" s="31"/>
      <c r="F91" s="31"/>
      <c r="G91" s="31"/>
      <c r="H91" s="31"/>
      <c r="I91" s="31"/>
      <c r="J91" s="31"/>
      <c r="K91" s="31"/>
      <c r="L91" s="31"/>
      <c r="M91" s="31"/>
      <c r="N91" s="562"/>
    </row>
  </sheetData>
  <mergeCells count="20">
    <mergeCell ref="A1:O1"/>
    <mergeCell ref="A48:O50"/>
    <mergeCell ref="A51:O54"/>
    <mergeCell ref="A55:O58"/>
    <mergeCell ref="A61:F61"/>
    <mergeCell ref="A62:F62"/>
    <mergeCell ref="A63:B63"/>
    <mergeCell ref="A69:F69"/>
    <mergeCell ref="A70:F70"/>
    <mergeCell ref="A73:F73"/>
    <mergeCell ref="A75:F75"/>
    <mergeCell ref="A76:F76"/>
    <mergeCell ref="A77:F77"/>
    <mergeCell ref="A79:E79"/>
    <mergeCell ref="A80:F80"/>
    <mergeCell ref="A84:F84"/>
    <mergeCell ref="A85:F85"/>
    <mergeCell ref="A86:F86"/>
    <mergeCell ref="A88:F88"/>
    <mergeCell ref="A89:F89"/>
  </mergeCells>
  <printOptions horizontalCentered="1"/>
  <pageMargins left="0.2" right="0.2" top="0.75" bottom="0.75" header="0.3" footer="0.3"/>
  <pageSetup scale="65" fitToHeight="0" orientation="landscape" r:id="rId1"/>
  <headerFooter>
    <oddHeader xml:space="preserve">&amp;CDRAFT NOT FOR DISTRIBUTION, INTERNAL USE ONLY
</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S80"/>
  <sheetViews>
    <sheetView zoomScaleNormal="100" workbookViewId="0">
      <selection sqref="A1:N1"/>
    </sheetView>
  </sheetViews>
  <sheetFormatPr defaultRowHeight="14.85"/>
  <cols>
    <col min="1" max="1" width="39.5703125" customWidth="1"/>
    <col min="2" max="2" width="16" customWidth="1"/>
    <col min="3" max="3" width="7.7109375" style="30" customWidth="1"/>
    <col min="4" max="4" width="7.85546875" customWidth="1"/>
    <col min="5" max="5" width="10.7109375" customWidth="1"/>
    <col min="6" max="6" width="11.28515625" customWidth="1"/>
    <col min="7" max="7" width="7.85546875" customWidth="1"/>
    <col min="8" max="8" width="7" customWidth="1"/>
    <col min="9" max="10" width="7.140625" customWidth="1"/>
    <col min="11" max="11" width="7.7109375" customWidth="1"/>
    <col min="12" max="12" width="8.140625" customWidth="1"/>
    <col min="13" max="13" width="7.7109375" customWidth="1"/>
    <col min="14" max="14" width="34" customWidth="1"/>
  </cols>
  <sheetData>
    <row r="1" spans="1:14" ht="15.6">
      <c r="A1" s="745" t="s">
        <v>346</v>
      </c>
      <c r="B1" s="745"/>
      <c r="C1" s="745"/>
      <c r="D1" s="745"/>
      <c r="E1" s="745"/>
      <c r="F1" s="745"/>
      <c r="G1" s="745"/>
      <c r="H1" s="745"/>
      <c r="I1" s="745"/>
      <c r="J1" s="745"/>
      <c r="K1" s="745"/>
      <c r="L1" s="745"/>
      <c r="M1" s="745"/>
      <c r="N1" s="745"/>
    </row>
    <row r="2" spans="1:14">
      <c r="A2" s="65" t="s">
        <v>347</v>
      </c>
      <c r="B2" s="687"/>
      <c r="C2" s="687"/>
      <c r="D2" s="381"/>
      <c r="E2" s="381"/>
      <c r="F2" s="381"/>
      <c r="G2" s="381"/>
      <c r="H2" s="381"/>
      <c r="I2" s="381"/>
      <c r="J2" s="381"/>
      <c r="K2" s="381"/>
      <c r="L2" s="381"/>
      <c r="M2" s="381"/>
      <c r="N2" s="381"/>
    </row>
    <row r="3" spans="1:14">
      <c r="A3" s="65" t="s">
        <v>348</v>
      </c>
      <c r="B3" s="381"/>
      <c r="C3" s="687"/>
      <c r="D3" s="381"/>
      <c r="E3" s="381"/>
      <c r="F3" s="554" t="s">
        <v>275</v>
      </c>
      <c r="G3" s="381"/>
      <c r="H3" s="381"/>
      <c r="I3" s="381"/>
      <c r="J3" s="381"/>
      <c r="K3" s="381"/>
      <c r="L3" s="381"/>
      <c r="M3" s="381"/>
      <c r="N3" s="381"/>
    </row>
    <row r="4" spans="1:14">
      <c r="A4" s="68" t="s">
        <v>349</v>
      </c>
      <c r="B4" s="31"/>
      <c r="C4" s="32"/>
      <c r="D4" s="31"/>
      <c r="E4" s="31"/>
      <c r="F4" s="381"/>
      <c r="G4" s="381"/>
      <c r="H4" s="381"/>
      <c r="I4" s="381"/>
      <c r="J4" s="381"/>
      <c r="K4" s="381"/>
      <c r="L4" s="381"/>
      <c r="M4" s="381"/>
      <c r="N4" s="381"/>
    </row>
    <row r="5" spans="1:14" ht="38.6">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c r="A7" s="36" t="s">
        <v>286</v>
      </c>
      <c r="B7" s="36"/>
      <c r="C7" s="37" t="s">
        <v>287</v>
      </c>
      <c r="D7" s="38"/>
      <c r="E7" s="263">
        <v>0</v>
      </c>
      <c r="F7" s="309">
        <f>SUM(G7:M7)</f>
        <v>0</v>
      </c>
      <c r="G7" s="310">
        <v>0</v>
      </c>
      <c r="H7" s="310">
        <v>0</v>
      </c>
      <c r="I7" s="310">
        <v>0</v>
      </c>
      <c r="J7" s="310">
        <v>0</v>
      </c>
      <c r="K7" s="310">
        <v>0</v>
      </c>
      <c r="L7" s="310">
        <v>0</v>
      </c>
      <c r="M7" s="311">
        <v>0</v>
      </c>
      <c r="N7" s="355"/>
    </row>
    <row r="8" spans="1:14" ht="15.05" customHeight="1">
      <c r="A8" s="36" t="s">
        <v>286</v>
      </c>
      <c r="B8" s="36"/>
      <c r="C8" s="37" t="s">
        <v>287</v>
      </c>
      <c r="D8" s="39" t="s">
        <v>351</v>
      </c>
      <c r="E8" s="263">
        <v>0</v>
      </c>
      <c r="F8" s="309">
        <f>SUM(G8:M8)</f>
        <v>0</v>
      </c>
      <c r="G8" s="310">
        <v>0</v>
      </c>
      <c r="H8" s="310">
        <v>0</v>
      </c>
      <c r="I8" s="310">
        <v>0</v>
      </c>
      <c r="J8" s="310">
        <v>0</v>
      </c>
      <c r="K8" s="310">
        <v>0</v>
      </c>
      <c r="L8" s="310">
        <v>0</v>
      </c>
      <c r="M8" s="311">
        <v>0</v>
      </c>
      <c r="N8" s="355"/>
    </row>
    <row r="9" spans="1:14" ht="15.05" customHeight="1">
      <c r="A9" s="36" t="s">
        <v>286</v>
      </c>
      <c r="B9" s="264"/>
      <c r="C9" s="37" t="s">
        <v>287</v>
      </c>
      <c r="D9" s="39"/>
      <c r="E9" s="263">
        <v>0</v>
      </c>
      <c r="F9" s="309">
        <f>SUM(G9:M9)</f>
        <v>0</v>
      </c>
      <c r="G9" s="310">
        <v>0</v>
      </c>
      <c r="H9" s="310">
        <v>0</v>
      </c>
      <c r="I9" s="310">
        <v>0</v>
      </c>
      <c r="J9" s="310">
        <v>0</v>
      </c>
      <c r="K9" s="310">
        <v>0</v>
      </c>
      <c r="L9" s="310">
        <v>0</v>
      </c>
      <c r="M9" s="311">
        <v>0</v>
      </c>
      <c r="N9" s="355"/>
    </row>
    <row r="10" spans="1:14">
      <c r="A10" s="36" t="s">
        <v>286</v>
      </c>
      <c r="B10" s="265"/>
      <c r="C10" s="37" t="s">
        <v>287</v>
      </c>
      <c r="D10" s="39"/>
      <c r="E10" s="263">
        <v>0</v>
      </c>
      <c r="F10" s="309">
        <f>SUM(G10:M10)</f>
        <v>0</v>
      </c>
      <c r="G10" s="310">
        <v>0</v>
      </c>
      <c r="H10" s="310">
        <v>0</v>
      </c>
      <c r="I10" s="310">
        <v>0</v>
      </c>
      <c r="J10" s="310">
        <v>0</v>
      </c>
      <c r="K10" s="310">
        <v>0</v>
      </c>
      <c r="L10" s="310">
        <v>0</v>
      </c>
      <c r="M10" s="311">
        <v>0</v>
      </c>
      <c r="N10" s="355"/>
    </row>
    <row r="11" spans="1:14">
      <c r="A11" s="40" t="s">
        <v>288</v>
      </c>
      <c r="B11" s="265"/>
      <c r="C11" s="266"/>
      <c r="D11" s="41">
        <f t="shared" ref="D11:M11" si="0">SUM(D7:D10)</f>
        <v>0</v>
      </c>
      <c r="E11" s="42">
        <f>SUM(E7:E10)</f>
        <v>0</v>
      </c>
      <c r="F11" s="43">
        <f t="shared" si="0"/>
        <v>0</v>
      </c>
      <c r="G11" s="43">
        <f t="shared" si="0"/>
        <v>0</v>
      </c>
      <c r="H11" s="43">
        <f t="shared" si="0"/>
        <v>0</v>
      </c>
      <c r="I11" s="43">
        <f t="shared" si="0"/>
        <v>0</v>
      </c>
      <c r="J11" s="43">
        <f t="shared" si="0"/>
        <v>0</v>
      </c>
      <c r="K11" s="43">
        <f t="shared" si="0"/>
        <v>0</v>
      </c>
      <c r="L11" s="43">
        <f t="shared" si="0"/>
        <v>0</v>
      </c>
      <c r="M11" s="43">
        <f t="shared" si="0"/>
        <v>0</v>
      </c>
      <c r="N11" s="355"/>
    </row>
    <row r="12" spans="1:14">
      <c r="A12" s="127" t="s">
        <v>289</v>
      </c>
      <c r="B12" s="128"/>
      <c r="C12" s="129"/>
      <c r="D12" s="128"/>
      <c r="E12" s="128"/>
      <c r="F12" s="89"/>
      <c r="G12" s="89"/>
      <c r="H12" s="89"/>
      <c r="I12" s="89"/>
      <c r="J12" s="89"/>
      <c r="K12" s="89"/>
      <c r="L12" s="89"/>
      <c r="M12" s="89"/>
      <c r="N12" s="89"/>
    </row>
    <row r="13" spans="1:14" ht="59.4">
      <c r="A13" s="73" t="s">
        <v>352</v>
      </c>
      <c r="B13" s="264" t="s">
        <v>353</v>
      </c>
      <c r="C13" s="44">
        <v>253</v>
      </c>
      <c r="D13" s="45"/>
      <c r="E13" s="263">
        <v>75</v>
      </c>
      <c r="F13" s="357">
        <f>SUM(G13:M13)</f>
        <v>75</v>
      </c>
      <c r="G13" s="310">
        <v>0</v>
      </c>
      <c r="H13" s="310">
        <v>0</v>
      </c>
      <c r="I13" s="310">
        <v>0</v>
      </c>
      <c r="J13" s="310">
        <v>0</v>
      </c>
      <c r="K13" s="310">
        <v>0</v>
      </c>
      <c r="L13" s="310">
        <v>75</v>
      </c>
      <c r="M13" s="311">
        <v>0</v>
      </c>
      <c r="N13" s="327" t="s">
        <v>354</v>
      </c>
    </row>
    <row r="14" spans="1:14">
      <c r="A14" s="264" t="s">
        <v>355</v>
      </c>
      <c r="B14" s="264"/>
      <c r="C14" s="44">
        <v>253</v>
      </c>
      <c r="D14" s="45"/>
      <c r="E14" s="263">
        <v>0</v>
      </c>
      <c r="F14" s="357">
        <f>SUM(G14:M14)</f>
        <v>0</v>
      </c>
      <c r="G14" s="310">
        <v>0</v>
      </c>
      <c r="H14" s="310">
        <v>0</v>
      </c>
      <c r="I14" s="310">
        <v>0</v>
      </c>
      <c r="J14" s="310">
        <v>0</v>
      </c>
      <c r="K14" s="310">
        <v>0</v>
      </c>
      <c r="L14" s="310">
        <v>0</v>
      </c>
      <c r="M14" s="311">
        <v>0</v>
      </c>
      <c r="N14" s="326"/>
    </row>
    <row r="15" spans="1:14">
      <c r="A15" s="264" t="s">
        <v>355</v>
      </c>
      <c r="B15" s="264"/>
      <c r="C15" s="44">
        <v>253</v>
      </c>
      <c r="D15" s="267"/>
      <c r="E15" s="263">
        <v>0</v>
      </c>
      <c r="F15" s="357">
        <f>SUM(G15:M15)</f>
        <v>0</v>
      </c>
      <c r="G15" s="310">
        <v>0</v>
      </c>
      <c r="H15" s="310">
        <v>0</v>
      </c>
      <c r="I15" s="310">
        <v>0</v>
      </c>
      <c r="J15" s="310">
        <v>0</v>
      </c>
      <c r="K15" s="310">
        <v>0</v>
      </c>
      <c r="L15" s="310">
        <v>0</v>
      </c>
      <c r="M15" s="311">
        <v>0</v>
      </c>
      <c r="N15" s="355"/>
    </row>
    <row r="16" spans="1:14" s="7" customFormat="1">
      <c r="A16" s="264" t="s">
        <v>355</v>
      </c>
      <c r="B16" s="264"/>
      <c r="C16" s="44">
        <v>253</v>
      </c>
      <c r="D16" s="267"/>
      <c r="E16" s="263">
        <v>0</v>
      </c>
      <c r="F16" s="357">
        <f>SUM(G16:M16)</f>
        <v>0</v>
      </c>
      <c r="G16" s="310">
        <v>0</v>
      </c>
      <c r="H16" s="310">
        <v>0</v>
      </c>
      <c r="I16" s="310">
        <v>0</v>
      </c>
      <c r="J16" s="310">
        <v>0</v>
      </c>
      <c r="K16" s="310"/>
      <c r="L16" s="310">
        <v>0</v>
      </c>
      <c r="M16" s="311">
        <v>0</v>
      </c>
      <c r="N16" s="326"/>
    </row>
    <row r="17" spans="1:19">
      <c r="A17" s="40" t="s">
        <v>294</v>
      </c>
      <c r="B17" s="265"/>
      <c r="C17" s="266"/>
      <c r="D17" s="267">
        <f t="shared" ref="D17:M17" si="1">SUM(D13:D16)</f>
        <v>0</v>
      </c>
      <c r="E17" s="42">
        <v>75</v>
      </c>
      <c r="F17" s="43">
        <f t="shared" si="1"/>
        <v>75</v>
      </c>
      <c r="G17" s="43">
        <f t="shared" si="1"/>
        <v>0</v>
      </c>
      <c r="H17" s="43">
        <f t="shared" si="1"/>
        <v>0</v>
      </c>
      <c r="I17" s="43">
        <f t="shared" si="1"/>
        <v>0</v>
      </c>
      <c r="J17" s="43">
        <f t="shared" si="1"/>
        <v>0</v>
      </c>
      <c r="K17" s="43">
        <f t="shared" si="1"/>
        <v>0</v>
      </c>
      <c r="L17" s="43">
        <f t="shared" si="1"/>
        <v>75</v>
      </c>
      <c r="M17" s="43">
        <f t="shared" si="1"/>
        <v>0</v>
      </c>
      <c r="N17" s="355"/>
      <c r="O17" s="381"/>
      <c r="P17" s="381"/>
      <c r="Q17" s="381"/>
      <c r="R17" s="381"/>
      <c r="S17" s="381"/>
    </row>
    <row r="18" spans="1:19" s="7" customFormat="1">
      <c r="A18" s="127" t="s">
        <v>356</v>
      </c>
      <c r="B18" s="128"/>
      <c r="C18" s="129"/>
      <c r="D18" s="128"/>
      <c r="E18" s="128"/>
      <c r="F18" s="89"/>
      <c r="G18" s="89"/>
      <c r="H18" s="89"/>
      <c r="I18" s="89"/>
      <c r="J18" s="89"/>
      <c r="K18" s="89"/>
      <c r="L18" s="89"/>
      <c r="M18" s="89"/>
      <c r="N18" s="130"/>
      <c r="O18" s="358"/>
      <c r="P18" s="358"/>
      <c r="Q18" s="381"/>
      <c r="R18" s="358"/>
      <c r="S18" s="358"/>
    </row>
    <row r="19" spans="1:19" ht="33.6" customHeight="1">
      <c r="A19" s="264" t="s">
        <v>296</v>
      </c>
      <c r="B19" s="36"/>
      <c r="C19" s="37" t="s">
        <v>297</v>
      </c>
      <c r="D19" s="38">
        <v>0</v>
      </c>
      <c r="E19" s="263">
        <f>SUM(F19:M19)</f>
        <v>0</v>
      </c>
      <c r="F19" s="309">
        <f t="shared" ref="F19:F34" si="2">SUM(G19:M19)</f>
        <v>0</v>
      </c>
      <c r="G19" s="310">
        <v>0</v>
      </c>
      <c r="H19" s="310">
        <v>0</v>
      </c>
      <c r="I19" s="310">
        <v>0</v>
      </c>
      <c r="J19" s="310">
        <v>0</v>
      </c>
      <c r="K19" s="310">
        <v>0</v>
      </c>
      <c r="L19" s="310">
        <v>0</v>
      </c>
      <c r="M19" s="311">
        <v>0</v>
      </c>
      <c r="N19" s="386"/>
      <c r="O19" s="381"/>
      <c r="P19" s="381"/>
      <c r="Q19" s="381"/>
      <c r="R19" s="381"/>
      <c r="S19" s="381"/>
    </row>
    <row r="20" spans="1:19">
      <c r="A20" s="264" t="s">
        <v>296</v>
      </c>
      <c r="B20" s="36"/>
      <c r="C20" s="44" t="s">
        <v>297</v>
      </c>
      <c r="D20" s="45">
        <v>0</v>
      </c>
      <c r="E20" s="263">
        <v>0</v>
      </c>
      <c r="F20" s="309">
        <f t="shared" si="2"/>
        <v>0</v>
      </c>
      <c r="G20" s="310">
        <v>0</v>
      </c>
      <c r="H20" s="310">
        <v>0</v>
      </c>
      <c r="I20" s="310">
        <v>0</v>
      </c>
      <c r="J20" s="310">
        <v>0</v>
      </c>
      <c r="K20" s="310">
        <v>0</v>
      </c>
      <c r="L20" s="310">
        <v>0</v>
      </c>
      <c r="M20" s="311">
        <v>0</v>
      </c>
      <c r="N20" s="355"/>
      <c r="O20" s="381"/>
      <c r="P20" s="381"/>
      <c r="Q20" s="381"/>
      <c r="R20" s="381"/>
      <c r="S20" s="381"/>
    </row>
    <row r="21" spans="1:19">
      <c r="A21" s="264" t="s">
        <v>296</v>
      </c>
      <c r="B21" s="36"/>
      <c r="C21" s="44" t="s">
        <v>297</v>
      </c>
      <c r="D21" s="45">
        <v>0</v>
      </c>
      <c r="E21" s="263">
        <v>0</v>
      </c>
      <c r="F21" s="309">
        <f t="shared" si="2"/>
        <v>0</v>
      </c>
      <c r="G21" s="310">
        <v>0</v>
      </c>
      <c r="H21" s="310">
        <v>0</v>
      </c>
      <c r="I21" s="310">
        <v>0</v>
      </c>
      <c r="J21" s="310">
        <v>0</v>
      </c>
      <c r="K21" s="310">
        <v>0</v>
      </c>
      <c r="L21" s="310">
        <v>0</v>
      </c>
      <c r="M21" s="311">
        <v>0</v>
      </c>
      <c r="N21" s="355"/>
      <c r="O21" s="381"/>
      <c r="P21" s="381"/>
      <c r="Q21" s="381"/>
      <c r="R21" s="381"/>
      <c r="S21" s="381"/>
    </row>
    <row r="22" spans="1:19">
      <c r="A22" s="264" t="s">
        <v>296</v>
      </c>
      <c r="B22" s="36"/>
      <c r="C22" s="44" t="s">
        <v>297</v>
      </c>
      <c r="D22" s="45">
        <v>0</v>
      </c>
      <c r="E22" s="263">
        <v>0</v>
      </c>
      <c r="F22" s="309">
        <f t="shared" si="2"/>
        <v>0</v>
      </c>
      <c r="G22" s="310">
        <v>0</v>
      </c>
      <c r="H22" s="310">
        <v>0</v>
      </c>
      <c r="I22" s="310">
        <v>0</v>
      </c>
      <c r="J22" s="310">
        <v>0</v>
      </c>
      <c r="K22" s="310">
        <v>0</v>
      </c>
      <c r="L22" s="310">
        <v>0</v>
      </c>
      <c r="M22" s="311">
        <v>0</v>
      </c>
      <c r="N22" s="355"/>
      <c r="O22" s="381"/>
      <c r="P22" s="381"/>
      <c r="Q22" s="381"/>
      <c r="R22" s="381"/>
      <c r="S22" s="381"/>
    </row>
    <row r="23" spans="1:19">
      <c r="A23" s="264" t="s">
        <v>296</v>
      </c>
      <c r="B23" s="36"/>
      <c r="C23" s="44" t="s">
        <v>297</v>
      </c>
      <c r="D23" s="45"/>
      <c r="E23" s="263">
        <v>0</v>
      </c>
      <c r="F23" s="309">
        <f t="shared" si="2"/>
        <v>0</v>
      </c>
      <c r="G23" s="310">
        <v>0</v>
      </c>
      <c r="H23" s="310">
        <v>0</v>
      </c>
      <c r="I23" s="310">
        <v>0</v>
      </c>
      <c r="J23" s="310">
        <v>0</v>
      </c>
      <c r="K23" s="310"/>
      <c r="L23" s="310"/>
      <c r="M23" s="311"/>
      <c r="N23" s="355"/>
      <c r="O23" s="381"/>
      <c r="P23" s="381"/>
      <c r="Q23" s="381"/>
      <c r="R23" s="381"/>
      <c r="S23" s="381"/>
    </row>
    <row r="24" spans="1:19">
      <c r="A24" s="264" t="s">
        <v>296</v>
      </c>
      <c r="B24" s="36"/>
      <c r="C24" s="44" t="s">
        <v>297</v>
      </c>
      <c r="D24" s="45">
        <v>0</v>
      </c>
      <c r="E24" s="263">
        <v>0</v>
      </c>
      <c r="F24" s="309">
        <f t="shared" si="2"/>
        <v>0</v>
      </c>
      <c r="G24" s="310">
        <v>0</v>
      </c>
      <c r="H24" s="310">
        <v>0</v>
      </c>
      <c r="I24" s="310">
        <v>0</v>
      </c>
      <c r="J24" s="310">
        <v>0</v>
      </c>
      <c r="K24" s="310"/>
      <c r="L24" s="310"/>
      <c r="M24" s="311"/>
      <c r="N24" s="355"/>
      <c r="O24" s="381"/>
      <c r="P24" s="381"/>
      <c r="Q24" s="381"/>
      <c r="R24" s="381"/>
      <c r="S24" s="381"/>
    </row>
    <row r="25" spans="1:19">
      <c r="A25" s="264" t="s">
        <v>302</v>
      </c>
      <c r="B25" s="36"/>
      <c r="C25" s="44" t="s">
        <v>303</v>
      </c>
      <c r="D25" s="45"/>
      <c r="E25" s="263">
        <v>0</v>
      </c>
      <c r="F25" s="309">
        <f t="shared" si="2"/>
        <v>0</v>
      </c>
      <c r="G25" s="310">
        <v>0</v>
      </c>
      <c r="H25" s="310">
        <v>0</v>
      </c>
      <c r="I25" s="310">
        <v>0</v>
      </c>
      <c r="J25" s="310">
        <v>0</v>
      </c>
      <c r="K25" s="310">
        <v>0</v>
      </c>
      <c r="L25" s="310">
        <v>0</v>
      </c>
      <c r="M25" s="311">
        <v>0</v>
      </c>
      <c r="N25" s="355"/>
      <c r="O25" s="381"/>
      <c r="P25" s="287"/>
      <c r="Q25" s="287"/>
      <c r="R25" s="287"/>
      <c r="S25" s="287"/>
    </row>
    <row r="26" spans="1:19">
      <c r="A26" s="264" t="s">
        <v>304</v>
      </c>
      <c r="B26" s="36"/>
      <c r="C26" s="44">
        <v>251</v>
      </c>
      <c r="D26" s="264"/>
      <c r="E26" s="263">
        <v>0</v>
      </c>
      <c r="F26" s="309">
        <f t="shared" si="2"/>
        <v>0</v>
      </c>
      <c r="G26" s="310">
        <v>0</v>
      </c>
      <c r="H26" s="310">
        <v>0</v>
      </c>
      <c r="I26" s="310">
        <v>0</v>
      </c>
      <c r="J26" s="310">
        <v>0</v>
      </c>
      <c r="K26" s="310"/>
      <c r="L26" s="310">
        <v>0</v>
      </c>
      <c r="M26" s="311">
        <v>0</v>
      </c>
      <c r="N26" s="355"/>
      <c r="O26" s="381"/>
      <c r="P26" s="381"/>
      <c r="Q26" s="381"/>
      <c r="R26" s="381"/>
      <c r="S26" s="381"/>
    </row>
    <row r="27" spans="1:19">
      <c r="A27" s="264" t="s">
        <v>313</v>
      </c>
      <c r="B27" s="36"/>
      <c r="C27" s="44">
        <v>252</v>
      </c>
      <c r="D27" s="264"/>
      <c r="E27" s="263">
        <v>0</v>
      </c>
      <c r="F27" s="309">
        <f t="shared" si="2"/>
        <v>0</v>
      </c>
      <c r="G27" s="310">
        <v>0</v>
      </c>
      <c r="H27" s="310">
        <v>0</v>
      </c>
      <c r="I27" s="310">
        <v>0</v>
      </c>
      <c r="J27" s="310">
        <v>0</v>
      </c>
      <c r="K27" s="310"/>
      <c r="L27" s="310">
        <v>0</v>
      </c>
      <c r="M27" s="311">
        <v>0</v>
      </c>
      <c r="N27" s="355"/>
      <c r="O27" s="381"/>
      <c r="P27" s="381"/>
      <c r="Q27" s="381"/>
      <c r="R27" s="381"/>
      <c r="S27" s="381"/>
    </row>
    <row r="28" spans="1:19">
      <c r="A28" s="264" t="s">
        <v>314</v>
      </c>
      <c r="B28" s="36"/>
      <c r="C28" s="44">
        <v>252</v>
      </c>
      <c r="D28" s="264"/>
      <c r="E28" s="263">
        <v>0</v>
      </c>
      <c r="F28" s="309">
        <f t="shared" si="2"/>
        <v>0</v>
      </c>
      <c r="G28" s="310">
        <v>0</v>
      </c>
      <c r="H28" s="310">
        <v>0</v>
      </c>
      <c r="I28" s="310">
        <v>0</v>
      </c>
      <c r="J28" s="310">
        <v>0</v>
      </c>
      <c r="K28" s="310"/>
      <c r="L28" s="310">
        <v>0</v>
      </c>
      <c r="M28" s="311">
        <v>0</v>
      </c>
      <c r="N28" s="355"/>
      <c r="O28" s="381"/>
      <c r="P28" s="381"/>
      <c r="Q28" s="381"/>
      <c r="R28" s="381"/>
      <c r="S28" s="381"/>
    </row>
    <row r="29" spans="1:19">
      <c r="A29" s="264" t="s">
        <v>315</v>
      </c>
      <c r="B29" s="36"/>
      <c r="C29" s="44">
        <v>253</v>
      </c>
      <c r="D29" s="264"/>
      <c r="E29" s="263">
        <v>0</v>
      </c>
      <c r="F29" s="309">
        <f t="shared" si="2"/>
        <v>0</v>
      </c>
      <c r="G29" s="310">
        <v>0</v>
      </c>
      <c r="H29" s="310">
        <v>0</v>
      </c>
      <c r="I29" s="310">
        <v>0</v>
      </c>
      <c r="J29" s="310">
        <v>0</v>
      </c>
      <c r="K29" s="310"/>
      <c r="L29" s="310">
        <v>0</v>
      </c>
      <c r="M29" s="311">
        <v>0</v>
      </c>
      <c r="N29" s="355"/>
      <c r="O29" s="381"/>
      <c r="P29" s="381"/>
      <c r="Q29" s="381"/>
      <c r="R29" s="381"/>
      <c r="S29" s="381"/>
    </row>
    <row r="30" spans="1:19">
      <c r="A30" s="264" t="s">
        <v>316</v>
      </c>
      <c r="B30" s="382"/>
      <c r="C30" s="44">
        <v>255</v>
      </c>
      <c r="D30" s="264"/>
      <c r="E30" s="263">
        <v>0</v>
      </c>
      <c r="F30" s="309">
        <f t="shared" si="2"/>
        <v>0</v>
      </c>
      <c r="G30" s="310">
        <v>0</v>
      </c>
      <c r="H30" s="310">
        <v>0</v>
      </c>
      <c r="I30" s="310">
        <v>0</v>
      </c>
      <c r="J30" s="310">
        <v>0</v>
      </c>
      <c r="K30" s="310"/>
      <c r="L30" s="310">
        <v>0</v>
      </c>
      <c r="M30" s="311">
        <v>0</v>
      </c>
      <c r="N30" s="355"/>
      <c r="O30" s="381"/>
      <c r="P30" s="381"/>
      <c r="Q30" s="381"/>
      <c r="R30" s="381"/>
      <c r="S30" s="381"/>
    </row>
    <row r="31" spans="1:19">
      <c r="A31" s="265" t="s">
        <v>317</v>
      </c>
      <c r="B31" s="36"/>
      <c r="C31" s="266">
        <v>256</v>
      </c>
      <c r="D31" s="265"/>
      <c r="E31" s="263">
        <v>0</v>
      </c>
      <c r="F31" s="309">
        <f t="shared" si="2"/>
        <v>0</v>
      </c>
      <c r="G31" s="310">
        <v>0</v>
      </c>
      <c r="H31" s="310">
        <v>0</v>
      </c>
      <c r="I31" s="310">
        <v>0</v>
      </c>
      <c r="J31" s="310">
        <v>0</v>
      </c>
      <c r="K31" s="310"/>
      <c r="L31" s="310">
        <v>0</v>
      </c>
      <c r="M31" s="311">
        <v>0</v>
      </c>
      <c r="N31" s="355"/>
      <c r="O31" s="381"/>
      <c r="P31" s="381"/>
      <c r="Q31" s="381"/>
      <c r="R31" s="381"/>
      <c r="S31" s="381"/>
    </row>
    <row r="32" spans="1:19">
      <c r="A32" s="264" t="s">
        <v>318</v>
      </c>
      <c r="B32" s="36"/>
      <c r="C32" s="44">
        <v>257</v>
      </c>
      <c r="D32" s="264"/>
      <c r="E32" s="263">
        <v>0</v>
      </c>
      <c r="F32" s="309">
        <f t="shared" si="2"/>
        <v>0</v>
      </c>
      <c r="G32" s="310">
        <v>0</v>
      </c>
      <c r="H32" s="310">
        <v>0</v>
      </c>
      <c r="I32" s="310">
        <v>0</v>
      </c>
      <c r="J32" s="310">
        <v>0</v>
      </c>
      <c r="K32" s="310"/>
      <c r="L32" s="310">
        <v>0</v>
      </c>
      <c r="M32" s="311">
        <v>0</v>
      </c>
      <c r="N32" s="355"/>
      <c r="O32" s="381"/>
      <c r="P32" s="381"/>
      <c r="Q32" s="381"/>
      <c r="R32" s="381"/>
      <c r="S32" s="381"/>
    </row>
    <row r="33" spans="1:14">
      <c r="A33" s="265" t="s">
        <v>319</v>
      </c>
      <c r="B33" s="36"/>
      <c r="C33" s="266" t="s">
        <v>320</v>
      </c>
      <c r="D33" s="265"/>
      <c r="E33" s="263">
        <v>0</v>
      </c>
      <c r="F33" s="309">
        <f t="shared" si="2"/>
        <v>0</v>
      </c>
      <c r="G33" s="310">
        <v>0</v>
      </c>
      <c r="H33" s="310">
        <v>0</v>
      </c>
      <c r="I33" s="310">
        <v>0</v>
      </c>
      <c r="J33" s="310">
        <v>0</v>
      </c>
      <c r="K33" s="310">
        <v>0</v>
      </c>
      <c r="L33" s="310">
        <v>0</v>
      </c>
      <c r="M33" s="311">
        <v>0</v>
      </c>
      <c r="N33" s="327"/>
    </row>
    <row r="34" spans="1:14">
      <c r="A34" s="265" t="s">
        <v>321</v>
      </c>
      <c r="B34" s="36"/>
      <c r="C34" s="266" t="s">
        <v>322</v>
      </c>
      <c r="D34" s="265"/>
      <c r="E34" s="263">
        <v>0</v>
      </c>
      <c r="F34" s="309">
        <f t="shared" si="2"/>
        <v>0</v>
      </c>
      <c r="G34" s="310">
        <v>0</v>
      </c>
      <c r="H34" s="310">
        <v>0</v>
      </c>
      <c r="I34" s="310">
        <v>0</v>
      </c>
      <c r="J34" s="310">
        <v>0</v>
      </c>
      <c r="K34" s="310">
        <v>0</v>
      </c>
      <c r="L34" s="310">
        <v>0</v>
      </c>
      <c r="M34" s="311">
        <v>0</v>
      </c>
      <c r="N34" s="355"/>
    </row>
    <row r="35" spans="1:14">
      <c r="A35" s="40" t="s">
        <v>326</v>
      </c>
      <c r="B35" s="46"/>
      <c r="C35" s="47"/>
      <c r="D35" s="48"/>
      <c r="E35" s="42">
        <f>SUM(E19:E34)</f>
        <v>0</v>
      </c>
      <c r="F35" s="17">
        <f t="shared" ref="F35:M35" si="3">SUM(F19:F34)</f>
        <v>0</v>
      </c>
      <c r="G35" s="17">
        <f t="shared" si="3"/>
        <v>0</v>
      </c>
      <c r="H35" s="17">
        <f t="shared" si="3"/>
        <v>0</v>
      </c>
      <c r="I35" s="17">
        <f t="shared" si="3"/>
        <v>0</v>
      </c>
      <c r="J35" s="17">
        <f t="shared" si="3"/>
        <v>0</v>
      </c>
      <c r="K35" s="17">
        <f t="shared" si="3"/>
        <v>0</v>
      </c>
      <c r="L35" s="17">
        <f t="shared" si="3"/>
        <v>0</v>
      </c>
      <c r="M35" s="17">
        <f t="shared" si="3"/>
        <v>0</v>
      </c>
      <c r="N35" s="353"/>
    </row>
    <row r="36" spans="1:14" s="151" customFormat="1">
      <c r="A36" s="40" t="s">
        <v>327</v>
      </c>
      <c r="B36" s="51"/>
      <c r="C36" s="149"/>
      <c r="D36" s="267"/>
      <c r="E36" s="241"/>
      <c r="F36" s="240">
        <f>SUM(G36:L36)</f>
        <v>0</v>
      </c>
      <c r="G36" s="240"/>
      <c r="H36" s="240"/>
      <c r="I36" s="240"/>
      <c r="J36" s="240"/>
      <c r="K36" s="240"/>
      <c r="L36" s="240"/>
      <c r="M36" s="240"/>
      <c r="N36" s="355"/>
    </row>
    <row r="37" spans="1:14">
      <c r="A37" s="40" t="s">
        <v>328</v>
      </c>
      <c r="B37" s="46"/>
      <c r="C37" s="47"/>
      <c r="D37" s="48">
        <f>D35+D17+D11</f>
        <v>0</v>
      </c>
      <c r="E37" s="42">
        <f>+E35+E17+E11-E36</f>
        <v>75</v>
      </c>
      <c r="F37" s="17">
        <f t="shared" ref="F37:M37" si="4">F35+F17+F11-F36</f>
        <v>75</v>
      </c>
      <c r="G37" s="17">
        <f t="shared" si="4"/>
        <v>0</v>
      </c>
      <c r="H37" s="17">
        <f t="shared" si="4"/>
        <v>0</v>
      </c>
      <c r="I37" s="17">
        <f t="shared" si="4"/>
        <v>0</v>
      </c>
      <c r="J37" s="17">
        <f t="shared" si="4"/>
        <v>0</v>
      </c>
      <c r="K37" s="17">
        <f t="shared" si="4"/>
        <v>0</v>
      </c>
      <c r="L37" s="17">
        <f t="shared" si="4"/>
        <v>75</v>
      </c>
      <c r="M37" s="17">
        <f t="shared" si="4"/>
        <v>0</v>
      </c>
      <c r="N37" s="162"/>
    </row>
    <row r="39" spans="1:14" ht="29.7">
      <c r="A39" s="381"/>
      <c r="B39" s="381"/>
      <c r="C39" s="687"/>
      <c r="D39" s="381"/>
      <c r="E39" s="289" t="s">
        <v>357</v>
      </c>
      <c r="F39" s="700" t="s">
        <v>1350</v>
      </c>
      <c r="G39" s="257"/>
      <c r="H39" s="381"/>
      <c r="I39" s="381"/>
      <c r="J39" s="381"/>
      <c r="K39" s="381"/>
      <c r="L39" s="381"/>
      <c r="M39" s="381"/>
      <c r="N39" s="381"/>
    </row>
    <row r="40" spans="1:14" ht="16.149999999999999" customHeight="1">
      <c r="A40" s="381"/>
      <c r="B40" s="381"/>
      <c r="C40" s="289" t="s">
        <v>35</v>
      </c>
      <c r="D40" s="381"/>
      <c r="E40" s="520">
        <f>+F37-E41</f>
        <v>39.907499999999999</v>
      </c>
      <c r="F40" s="394">
        <f>+F37*'Prep%Fuelspercentage.direct'!B38</f>
        <v>45.907499999999999</v>
      </c>
      <c r="G40" s="257"/>
      <c r="H40" s="381"/>
      <c r="I40" s="381"/>
      <c r="J40" s="381"/>
      <c r="K40" s="381"/>
      <c r="L40" s="381"/>
      <c r="M40" s="381"/>
      <c r="N40" s="381"/>
    </row>
    <row r="41" spans="1:14">
      <c r="A41" s="381"/>
      <c r="B41" s="381"/>
      <c r="C41" s="289" t="s">
        <v>33</v>
      </c>
      <c r="D41" s="381"/>
      <c r="E41" s="522">
        <f>+F41+6</f>
        <v>35.092500000000001</v>
      </c>
      <c r="F41" s="429">
        <f>+F37-F40</f>
        <v>29.092500000000001</v>
      </c>
      <c r="G41" s="381"/>
      <c r="H41" s="381"/>
      <c r="I41" s="381"/>
      <c r="J41" s="381"/>
      <c r="K41" s="381"/>
      <c r="L41" s="381"/>
      <c r="M41" s="381"/>
      <c r="N41" s="381"/>
    </row>
    <row r="42" spans="1:14">
      <c r="A42" s="381"/>
      <c r="B42" s="381"/>
      <c r="C42" s="687"/>
      <c r="D42" s="381"/>
      <c r="E42" s="381">
        <f>SUM(E40:E41)</f>
        <v>75</v>
      </c>
      <c r="F42" s="394">
        <f>SUM(F40:F41)</f>
        <v>75</v>
      </c>
      <c r="G42" s="381"/>
      <c r="H42" s="381"/>
      <c r="I42" s="381"/>
      <c r="J42" s="381"/>
      <c r="K42" s="381"/>
      <c r="L42" s="381"/>
      <c r="M42" s="381"/>
      <c r="N42" s="381"/>
    </row>
    <row r="44" spans="1:14">
      <c r="A44" s="381"/>
      <c r="B44" s="381"/>
      <c r="C44" s="687" t="s">
        <v>359</v>
      </c>
      <c r="D44" s="381"/>
      <c r="E44" s="381" t="s">
        <v>360</v>
      </c>
      <c r="F44" s="381" t="s">
        <v>358</v>
      </c>
      <c r="G44" s="381"/>
      <c r="H44" s="381"/>
      <c r="I44" s="381"/>
      <c r="J44" s="381"/>
      <c r="K44" s="381"/>
      <c r="L44" s="381"/>
      <c r="M44" s="381"/>
      <c r="N44" s="381"/>
    </row>
    <row r="45" spans="1:14">
      <c r="A45" s="381"/>
      <c r="B45" s="381"/>
      <c r="C45" s="289" t="s">
        <v>35</v>
      </c>
      <c r="D45" s="381"/>
      <c r="E45" s="381">
        <v>47</v>
      </c>
      <c r="F45" s="394">
        <v>47</v>
      </c>
      <c r="G45" s="381"/>
      <c r="H45" s="381"/>
      <c r="I45" s="381"/>
      <c r="J45" s="381"/>
      <c r="K45" s="381"/>
      <c r="L45" s="381"/>
      <c r="M45" s="381"/>
      <c r="N45" s="381"/>
    </row>
    <row r="46" spans="1:14">
      <c r="A46" s="381"/>
      <c r="B46" s="381"/>
      <c r="C46" s="289" t="s">
        <v>33</v>
      </c>
      <c r="D46" s="381"/>
      <c r="E46" s="256">
        <v>28</v>
      </c>
      <c r="F46" s="429">
        <f>+F37-F45</f>
        <v>28</v>
      </c>
      <c r="G46" s="381"/>
      <c r="H46" s="381"/>
      <c r="I46" s="381"/>
      <c r="J46" s="381"/>
      <c r="K46" s="381"/>
      <c r="L46" s="381"/>
      <c r="M46" s="381"/>
      <c r="N46" s="381"/>
    </row>
    <row r="47" spans="1:14">
      <c r="A47" s="381"/>
      <c r="B47" s="381"/>
      <c r="C47" s="687"/>
      <c r="D47" s="381"/>
      <c r="E47" s="381">
        <f>SUM(E45:E46)</f>
        <v>75</v>
      </c>
      <c r="F47" s="394">
        <f>SUM(F45:F46)</f>
        <v>75</v>
      </c>
      <c r="G47" s="381"/>
      <c r="H47" s="381"/>
      <c r="I47" s="381"/>
      <c r="J47" s="381"/>
      <c r="K47" s="381"/>
      <c r="L47" s="381"/>
      <c r="M47" s="381"/>
      <c r="N47" s="381"/>
    </row>
    <row r="49" spans="1:14" s="381" customFormat="1" ht="15.6" thickBot="1">
      <c r="A49" s="31"/>
      <c r="B49" s="31"/>
      <c r="C49" s="32"/>
      <c r="D49" s="31"/>
      <c r="E49" s="31"/>
      <c r="F49" s="31"/>
      <c r="G49" s="31"/>
      <c r="H49" s="31"/>
      <c r="I49" s="31"/>
      <c r="J49" s="31"/>
      <c r="K49" s="31"/>
      <c r="L49" s="31"/>
      <c r="M49" s="31"/>
      <c r="N49" s="562"/>
    </row>
    <row r="50" spans="1:14" s="381" customFormat="1" ht="15.6">
      <c r="A50" s="764" t="s">
        <v>330</v>
      </c>
      <c r="B50" s="765"/>
      <c r="C50" s="765"/>
      <c r="D50" s="765"/>
      <c r="E50" s="765"/>
      <c r="F50" s="765"/>
      <c r="G50" s="581"/>
      <c r="H50" s="31"/>
      <c r="I50" s="31"/>
      <c r="J50" s="31"/>
      <c r="K50" s="31"/>
      <c r="L50" s="31"/>
      <c r="M50" s="31"/>
      <c r="N50" s="562"/>
    </row>
    <row r="51" spans="1:14" s="381" customFormat="1" ht="15.6">
      <c r="A51" s="738"/>
      <c r="B51" s="739"/>
      <c r="C51" s="739"/>
      <c r="D51" s="739"/>
      <c r="E51" s="739"/>
      <c r="F51" s="739"/>
      <c r="G51" s="582"/>
      <c r="H51" s="31"/>
      <c r="I51" s="31"/>
      <c r="J51" s="31"/>
      <c r="K51" s="31"/>
      <c r="L51" s="31"/>
      <c r="M51" s="31"/>
      <c r="N51" s="562"/>
    </row>
    <row r="52" spans="1:14" s="381" customFormat="1">
      <c r="A52" s="740" t="s">
        <v>331</v>
      </c>
      <c r="B52" s="741"/>
      <c r="C52" s="583"/>
      <c r="D52" s="583"/>
      <c r="E52" s="583"/>
      <c r="F52" s="583"/>
      <c r="G52" s="582"/>
      <c r="H52" s="31"/>
      <c r="I52" s="31"/>
      <c r="J52" s="31"/>
      <c r="K52" s="31"/>
      <c r="L52" s="31"/>
      <c r="M52" s="31"/>
      <c r="N52" s="562"/>
    </row>
    <row r="53" spans="1:14" s="381" customFormat="1">
      <c r="A53" s="584" t="s">
        <v>361</v>
      </c>
      <c r="B53" s="585">
        <f>E37</f>
        <v>75</v>
      </c>
      <c r="C53" s="586"/>
      <c r="D53" s="587"/>
      <c r="E53" s="587"/>
      <c r="F53" s="587"/>
      <c r="G53" s="582"/>
      <c r="H53" s="31"/>
      <c r="I53" s="31"/>
      <c r="J53" s="31"/>
      <c r="K53" s="31"/>
      <c r="L53" s="31"/>
      <c r="M53" s="31"/>
      <c r="N53" s="562"/>
    </row>
    <row r="54" spans="1:14" s="381" customFormat="1">
      <c r="A54" s="588" t="s">
        <v>362</v>
      </c>
      <c r="B54" s="589">
        <f>F37</f>
        <v>75</v>
      </c>
      <c r="C54" s="586"/>
      <c r="D54" s="587"/>
      <c r="E54" s="587"/>
      <c r="F54" s="587"/>
      <c r="G54" s="582"/>
      <c r="H54" s="31"/>
      <c r="I54" s="31"/>
      <c r="J54" s="31"/>
      <c r="K54" s="31"/>
      <c r="L54" s="31"/>
      <c r="M54" s="31"/>
      <c r="N54" s="562"/>
    </row>
    <row r="55" spans="1:14" s="381" customFormat="1">
      <c r="A55" s="590" t="s">
        <v>334</v>
      </c>
      <c r="B55" s="591">
        <f>B54-B53</f>
        <v>0</v>
      </c>
      <c r="C55" s="586"/>
      <c r="D55" s="587"/>
      <c r="E55" s="587"/>
      <c r="F55" s="587"/>
      <c r="G55" s="582"/>
      <c r="H55" s="31"/>
      <c r="I55" s="31"/>
      <c r="J55" s="31"/>
      <c r="K55" s="31"/>
      <c r="L55" s="31"/>
      <c r="M55" s="31"/>
      <c r="N55" s="562"/>
    </row>
    <row r="56" spans="1:14" s="381" customFormat="1">
      <c r="A56" s="590" t="s">
        <v>335</v>
      </c>
      <c r="B56" s="592">
        <f>B55/B53</f>
        <v>0</v>
      </c>
      <c r="C56" s="586"/>
      <c r="D56" s="587"/>
      <c r="E56" s="587"/>
      <c r="F56" s="587"/>
      <c r="G56" s="582"/>
      <c r="H56" s="31"/>
      <c r="I56" s="31"/>
      <c r="J56" s="31"/>
      <c r="K56" s="31"/>
      <c r="L56" s="31"/>
      <c r="M56" s="31"/>
      <c r="N56" s="562"/>
    </row>
    <row r="57" spans="1:14" s="381" customFormat="1">
      <c r="A57" s="593"/>
      <c r="B57" s="587"/>
      <c r="C57" s="686"/>
      <c r="D57" s="587"/>
      <c r="E57" s="587"/>
      <c r="F57" s="587"/>
      <c r="G57" s="582"/>
      <c r="H57" s="31"/>
      <c r="I57" s="31"/>
      <c r="J57" s="31"/>
      <c r="K57" s="31"/>
      <c r="L57" s="31"/>
      <c r="M57" s="31"/>
      <c r="N57" s="562"/>
    </row>
    <row r="58" spans="1:14" s="381" customFormat="1">
      <c r="A58" s="731" t="s">
        <v>336</v>
      </c>
      <c r="B58" s="732"/>
      <c r="C58" s="732"/>
      <c r="D58" s="732"/>
      <c r="E58" s="732"/>
      <c r="F58" s="732"/>
      <c r="G58" s="582"/>
      <c r="H58" s="31"/>
      <c r="I58" s="31"/>
      <c r="J58" s="31"/>
      <c r="K58" s="31"/>
      <c r="L58" s="31"/>
      <c r="M58" s="31"/>
      <c r="N58" s="562"/>
    </row>
    <row r="59" spans="1:14" s="381" customFormat="1">
      <c r="A59" s="742" t="s">
        <v>363</v>
      </c>
      <c r="B59" s="743"/>
      <c r="C59" s="743"/>
      <c r="D59" s="743"/>
      <c r="E59" s="743"/>
      <c r="F59" s="744"/>
      <c r="G59" s="582"/>
      <c r="H59" s="31"/>
      <c r="I59" s="31"/>
      <c r="J59" s="31"/>
      <c r="K59" s="31"/>
      <c r="L59" s="31"/>
      <c r="M59" s="31"/>
      <c r="N59" s="562"/>
    </row>
    <row r="60" spans="1:14" s="381" customFormat="1">
      <c r="A60" s="594"/>
      <c r="B60" s="595"/>
      <c r="C60" s="595"/>
      <c r="D60" s="595"/>
      <c r="E60" s="595"/>
      <c r="F60" s="595"/>
      <c r="G60" s="582"/>
      <c r="H60" s="31"/>
      <c r="I60" s="31"/>
      <c r="J60" s="31"/>
      <c r="K60" s="31"/>
      <c r="L60" s="31"/>
      <c r="M60" s="31"/>
      <c r="N60" s="562"/>
    </row>
    <row r="61" spans="1:14" s="381" customFormat="1">
      <c r="A61" s="596" t="s">
        <v>337</v>
      </c>
      <c r="B61" s="587"/>
      <c r="C61" s="686"/>
      <c r="D61" s="587"/>
      <c r="E61" s="587"/>
      <c r="F61" s="587"/>
      <c r="G61" s="582"/>
      <c r="H61" s="31"/>
      <c r="I61" s="31"/>
      <c r="J61" s="31"/>
      <c r="K61" s="31"/>
      <c r="L61" s="31"/>
      <c r="M61" s="31"/>
      <c r="N61" s="562"/>
    </row>
    <row r="62" spans="1:14" s="381" customFormat="1" ht="54.95" customHeight="1">
      <c r="A62" s="742" t="s">
        <v>364</v>
      </c>
      <c r="B62" s="743"/>
      <c r="C62" s="743"/>
      <c r="D62" s="743"/>
      <c r="E62" s="743"/>
      <c r="F62" s="744"/>
      <c r="G62" s="582"/>
      <c r="H62" s="31"/>
      <c r="I62" s="31"/>
      <c r="J62" s="31"/>
      <c r="K62" s="31"/>
      <c r="L62" s="31"/>
      <c r="M62" s="31"/>
      <c r="N62" s="562"/>
    </row>
    <row r="63" spans="1:14" s="381" customFormat="1">
      <c r="A63" s="593"/>
      <c r="B63" s="587"/>
      <c r="C63" s="686"/>
      <c r="D63" s="587"/>
      <c r="E63" s="587"/>
      <c r="F63" s="587"/>
      <c r="G63" s="582"/>
      <c r="H63" s="31"/>
      <c r="I63" s="31"/>
      <c r="J63" s="31"/>
      <c r="K63" s="31"/>
      <c r="L63" s="31"/>
      <c r="M63" s="31"/>
      <c r="N63" s="562"/>
    </row>
    <row r="64" spans="1:14" s="381" customFormat="1">
      <c r="A64" s="731" t="s">
        <v>365</v>
      </c>
      <c r="B64" s="732"/>
      <c r="C64" s="732"/>
      <c r="D64" s="732"/>
      <c r="E64" s="732"/>
      <c r="F64" s="732"/>
      <c r="G64" s="582"/>
      <c r="H64" s="31"/>
      <c r="I64" s="31"/>
      <c r="J64" s="31"/>
      <c r="K64" s="31"/>
      <c r="L64" s="31"/>
      <c r="M64" s="31"/>
      <c r="N64" s="562"/>
    </row>
    <row r="65" spans="1:14" s="381" customFormat="1">
      <c r="A65" s="733" t="s">
        <v>339</v>
      </c>
      <c r="B65" s="734"/>
      <c r="C65" s="734"/>
      <c r="D65" s="734"/>
      <c r="E65" s="734"/>
      <c r="F65" s="734"/>
      <c r="G65" s="582"/>
      <c r="H65" s="31"/>
      <c r="I65" s="31"/>
      <c r="J65" s="31"/>
      <c r="K65" s="31"/>
      <c r="L65" s="31"/>
      <c r="M65" s="31"/>
      <c r="N65" s="562"/>
    </row>
    <row r="66" spans="1:14" s="381" customFormat="1" ht="42.35" customHeight="1">
      <c r="A66" s="742" t="s">
        <v>366</v>
      </c>
      <c r="B66" s="743"/>
      <c r="C66" s="743"/>
      <c r="D66" s="743"/>
      <c r="E66" s="743"/>
      <c r="F66" s="744"/>
      <c r="G66" s="582"/>
      <c r="H66" s="31"/>
      <c r="I66" s="31"/>
      <c r="J66" s="31"/>
      <c r="K66" s="31"/>
      <c r="L66" s="31"/>
      <c r="M66" s="31"/>
      <c r="N66" s="562"/>
    </row>
    <row r="67" spans="1:14" s="381" customFormat="1">
      <c r="A67" s="596"/>
      <c r="B67" s="587"/>
      <c r="C67" s="686"/>
      <c r="D67" s="587"/>
      <c r="E67" s="587"/>
      <c r="F67" s="587"/>
      <c r="G67" s="582"/>
      <c r="H67" s="31"/>
      <c r="I67" s="31"/>
      <c r="J67" s="31"/>
      <c r="K67" s="31"/>
      <c r="L67" s="31"/>
      <c r="M67" s="31"/>
      <c r="N67" s="562"/>
    </row>
    <row r="68" spans="1:14" s="381" customFormat="1">
      <c r="A68" s="731" t="s">
        <v>340</v>
      </c>
      <c r="B68" s="732"/>
      <c r="C68" s="732"/>
      <c r="D68" s="732"/>
      <c r="E68" s="732"/>
      <c r="F68" s="587"/>
      <c r="G68" s="582"/>
      <c r="H68" s="31"/>
      <c r="I68" s="31"/>
      <c r="J68" s="31"/>
      <c r="K68" s="31"/>
      <c r="L68" s="31"/>
      <c r="M68" s="31"/>
      <c r="N68" s="562"/>
    </row>
    <row r="69" spans="1:14" s="381" customFormat="1" ht="30.25" customHeight="1">
      <c r="A69" s="766" t="s">
        <v>367</v>
      </c>
      <c r="B69" s="767"/>
      <c r="C69" s="767"/>
      <c r="D69" s="767"/>
      <c r="E69" s="767"/>
      <c r="F69" s="768"/>
      <c r="G69" s="582"/>
      <c r="H69" s="31"/>
      <c r="I69" s="31"/>
      <c r="J69" s="31"/>
      <c r="K69" s="31"/>
      <c r="L69" s="31"/>
      <c r="M69" s="31"/>
      <c r="N69" s="562"/>
    </row>
    <row r="70" spans="1:14" s="381" customFormat="1">
      <c r="A70" s="593"/>
      <c r="B70" s="587"/>
      <c r="C70" s="686"/>
      <c r="D70" s="587"/>
      <c r="E70" s="587"/>
      <c r="F70" s="587"/>
      <c r="G70" s="582"/>
      <c r="H70" s="31"/>
      <c r="I70" s="31"/>
      <c r="J70" s="31"/>
      <c r="K70" s="31"/>
      <c r="L70" s="31"/>
      <c r="M70" s="31"/>
      <c r="N70" s="562"/>
    </row>
    <row r="71" spans="1:14" s="381" customFormat="1">
      <c r="A71" s="596" t="s">
        <v>341</v>
      </c>
      <c r="B71" s="587"/>
      <c r="C71" s="686"/>
      <c r="D71" s="587"/>
      <c r="E71" s="587"/>
      <c r="F71" s="587"/>
      <c r="G71" s="582"/>
      <c r="H71" s="31"/>
      <c r="I71" s="31"/>
      <c r="J71" s="31"/>
      <c r="K71" s="31"/>
      <c r="L71" s="31"/>
      <c r="M71" s="31"/>
      <c r="N71" s="562"/>
    </row>
    <row r="72" spans="1:14" s="381" customFormat="1">
      <c r="A72" s="597" t="s">
        <v>342</v>
      </c>
      <c r="B72" s="587"/>
      <c r="C72" s="686"/>
      <c r="D72" s="587"/>
      <c r="E72" s="587"/>
      <c r="F72" s="587"/>
      <c r="G72" s="582"/>
      <c r="H72" s="31"/>
      <c r="I72" s="31"/>
      <c r="J72" s="31"/>
      <c r="K72" s="31"/>
      <c r="L72" s="31"/>
      <c r="M72" s="31"/>
      <c r="N72" s="562"/>
    </row>
    <row r="73" spans="1:14" s="381" customFormat="1" ht="26.2" customHeight="1">
      <c r="A73" s="719" t="s">
        <v>368</v>
      </c>
      <c r="B73" s="720"/>
      <c r="C73" s="720"/>
      <c r="D73" s="720"/>
      <c r="E73" s="720"/>
      <c r="F73" s="720"/>
      <c r="G73" s="582"/>
      <c r="H73" s="31"/>
      <c r="I73" s="31"/>
      <c r="J73" s="31"/>
      <c r="K73" s="31"/>
      <c r="L73" s="31"/>
      <c r="M73" s="31"/>
      <c r="N73" s="562"/>
    </row>
    <row r="74" spans="1:14" s="381" customFormat="1" ht="26.2" customHeight="1">
      <c r="A74" s="721"/>
      <c r="B74" s="722"/>
      <c r="C74" s="722"/>
      <c r="D74" s="722"/>
      <c r="E74" s="722"/>
      <c r="F74" s="723"/>
      <c r="G74" s="582"/>
      <c r="H74" s="31"/>
      <c r="I74" s="31"/>
      <c r="J74" s="31"/>
      <c r="K74" s="31"/>
      <c r="L74" s="31"/>
      <c r="M74" s="31"/>
      <c r="N74" s="562"/>
    </row>
    <row r="75" spans="1:14" s="381" customFormat="1">
      <c r="A75" s="724"/>
      <c r="B75" s="725"/>
      <c r="C75" s="725"/>
      <c r="D75" s="725"/>
      <c r="E75" s="725"/>
      <c r="F75" s="725"/>
      <c r="G75" s="582"/>
      <c r="H75" s="31"/>
      <c r="I75" s="31"/>
      <c r="J75" s="31"/>
      <c r="K75" s="31"/>
      <c r="L75" s="31"/>
      <c r="M75" s="31"/>
      <c r="N75" s="562"/>
    </row>
    <row r="76" spans="1:14" s="381" customFormat="1">
      <c r="A76" s="597" t="s">
        <v>344</v>
      </c>
      <c r="B76" s="587"/>
      <c r="C76" s="686"/>
      <c r="D76" s="587"/>
      <c r="E76" s="587"/>
      <c r="F76" s="587"/>
      <c r="G76" s="582"/>
      <c r="H76" s="31"/>
      <c r="I76" s="31"/>
      <c r="J76" s="31"/>
      <c r="K76" s="31"/>
      <c r="L76" s="31"/>
      <c r="M76" s="31"/>
      <c r="N76" s="562"/>
    </row>
    <row r="77" spans="1:14" s="381" customFormat="1" ht="28.95" customHeight="1">
      <c r="A77" s="726" t="s">
        <v>345</v>
      </c>
      <c r="B77" s="727"/>
      <c r="C77" s="727"/>
      <c r="D77" s="727"/>
      <c r="E77" s="727"/>
      <c r="F77" s="727"/>
      <c r="G77" s="582"/>
      <c r="H77" s="31"/>
      <c r="I77" s="31"/>
      <c r="J77" s="31"/>
      <c r="K77" s="31"/>
      <c r="L77" s="31"/>
      <c r="M77" s="31"/>
      <c r="N77" s="562"/>
    </row>
    <row r="78" spans="1:14" s="381" customFormat="1" ht="30.8" customHeight="1">
      <c r="A78" s="728"/>
      <c r="B78" s="729"/>
      <c r="C78" s="729"/>
      <c r="D78" s="729"/>
      <c r="E78" s="729"/>
      <c r="F78" s="730"/>
      <c r="G78" s="582"/>
      <c r="H78" s="31"/>
      <c r="I78" s="31"/>
      <c r="J78" s="31"/>
      <c r="K78" s="31"/>
      <c r="L78" s="31"/>
      <c r="M78" s="31"/>
      <c r="N78" s="562"/>
    </row>
    <row r="79" spans="1:14" s="381" customFormat="1" ht="15.6" thickBot="1">
      <c r="A79" s="598"/>
      <c r="B79" s="599"/>
      <c r="C79" s="600"/>
      <c r="D79" s="599"/>
      <c r="E79" s="599"/>
      <c r="F79" s="599"/>
      <c r="G79" s="601"/>
      <c r="H79" s="31"/>
      <c r="I79" s="31"/>
      <c r="J79" s="31"/>
      <c r="K79" s="31"/>
      <c r="L79" s="31"/>
      <c r="M79" s="31"/>
      <c r="N79" s="562"/>
    </row>
    <row r="80" spans="1:14" s="381" customFormat="1">
      <c r="A80" s="31"/>
      <c r="B80" s="31"/>
      <c r="C80" s="32"/>
      <c r="D80" s="31"/>
      <c r="E80" s="31"/>
      <c r="F80" s="31"/>
      <c r="G80" s="31"/>
      <c r="H80" s="31"/>
      <c r="I80" s="31"/>
      <c r="J80" s="31"/>
      <c r="K80" s="31"/>
      <c r="L80" s="31"/>
      <c r="M80" s="31"/>
      <c r="N80" s="562"/>
    </row>
  </sheetData>
  <mergeCells count="17">
    <mergeCell ref="A1:N1"/>
    <mergeCell ref="A50:F50"/>
    <mergeCell ref="A51:F51"/>
    <mergeCell ref="A52:B52"/>
    <mergeCell ref="A58:F58"/>
    <mergeCell ref="A59:F59"/>
    <mergeCell ref="A62:F62"/>
    <mergeCell ref="A64:F64"/>
    <mergeCell ref="A65:F65"/>
    <mergeCell ref="A66:F66"/>
    <mergeCell ref="A77:F77"/>
    <mergeCell ref="A78:F78"/>
    <mergeCell ref="A68:E68"/>
    <mergeCell ref="A69:F69"/>
    <mergeCell ref="A73:F73"/>
    <mergeCell ref="A74:F74"/>
    <mergeCell ref="A75:F75"/>
  </mergeCells>
  <printOptions horizontalCentered="1"/>
  <pageMargins left="0.2" right="0.2" top="0.75" bottom="0.75" header="0.3" footer="0.3"/>
  <pageSetup scale="75" fitToHeight="0" orientation="landscape" r:id="rId1"/>
  <headerFooter>
    <oddHeader xml:space="preserve">&amp;CDRAFT NOT FOR DISTRIBUTION, INTERNAL USE ONLY
</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N71"/>
  <sheetViews>
    <sheetView zoomScaleNormal="100" workbookViewId="0">
      <selection sqref="A1:N1"/>
    </sheetView>
  </sheetViews>
  <sheetFormatPr defaultRowHeight="14.85"/>
  <cols>
    <col min="1" max="1" width="47.28515625" customWidth="1"/>
    <col min="2" max="2" width="16" customWidth="1"/>
    <col min="3" max="3" width="7.7109375" style="30" customWidth="1"/>
    <col min="4" max="4" width="8.7109375" customWidth="1"/>
    <col min="5" max="5" width="10.7109375" customWidth="1"/>
    <col min="6" max="6" width="11" customWidth="1"/>
    <col min="7" max="7" width="9.5703125" customWidth="1"/>
    <col min="8" max="8" width="8.42578125" customWidth="1"/>
    <col min="9" max="10" width="7.140625" customWidth="1"/>
    <col min="11" max="11" width="7.7109375" customWidth="1"/>
    <col min="12" max="12" width="9.7109375" customWidth="1"/>
    <col min="13" max="13" width="9.140625" customWidth="1"/>
    <col min="14" max="14" width="36.42578125" customWidth="1"/>
  </cols>
  <sheetData>
    <row r="1" spans="1:14" ht="15.6">
      <c r="A1" s="745" t="s">
        <v>227</v>
      </c>
      <c r="B1" s="745"/>
      <c r="C1" s="745"/>
      <c r="D1" s="745"/>
      <c r="E1" s="745"/>
      <c r="F1" s="745"/>
      <c r="G1" s="745"/>
      <c r="H1" s="745"/>
      <c r="I1" s="745"/>
      <c r="J1" s="745"/>
      <c r="K1" s="745"/>
      <c r="L1" s="745"/>
      <c r="M1" s="745"/>
      <c r="N1" s="745"/>
    </row>
    <row r="2" spans="1:14">
      <c r="A2" s="65" t="s">
        <v>369</v>
      </c>
      <c r="B2" s="381"/>
      <c r="C2" s="687"/>
      <c r="D2" s="381"/>
      <c r="E2" s="381"/>
      <c r="F2" s="381"/>
      <c r="G2" s="381"/>
      <c r="H2" s="381"/>
      <c r="I2" s="381"/>
      <c r="J2" s="381"/>
      <c r="K2" s="381"/>
      <c r="L2" s="381"/>
      <c r="M2" s="381"/>
      <c r="N2" s="381"/>
    </row>
    <row r="3" spans="1:14">
      <c r="A3" s="65" t="s">
        <v>370</v>
      </c>
      <c r="B3" s="381"/>
      <c r="C3" s="687"/>
      <c r="D3" s="381"/>
      <c r="E3" s="381"/>
      <c r="F3" s="554" t="s">
        <v>275</v>
      </c>
      <c r="G3" s="381"/>
      <c r="H3" s="381"/>
      <c r="I3" s="381"/>
      <c r="J3" s="381"/>
      <c r="K3" s="381"/>
      <c r="L3" s="381"/>
      <c r="M3" s="381"/>
      <c r="N3" s="381"/>
    </row>
    <row r="4" spans="1:14">
      <c r="A4" s="68" t="s">
        <v>371</v>
      </c>
      <c r="B4" s="31"/>
      <c r="C4" s="32"/>
      <c r="D4" s="31"/>
      <c r="E4" s="31"/>
      <c r="F4" s="381"/>
      <c r="G4" s="381"/>
      <c r="H4" s="381"/>
      <c r="I4" s="381"/>
      <c r="J4" s="381"/>
      <c r="K4" s="381"/>
      <c r="L4" s="381"/>
      <c r="M4" s="381"/>
      <c r="N4" s="381"/>
    </row>
    <row r="5" spans="1:14" ht="29.7">
      <c r="A5" s="33"/>
      <c r="B5" s="33" t="s">
        <v>277</v>
      </c>
      <c r="C5" s="1" t="s">
        <v>278</v>
      </c>
      <c r="D5" s="2" t="s">
        <v>350</v>
      </c>
      <c r="E5" s="34" t="s">
        <v>280</v>
      </c>
      <c r="F5" s="35" t="s">
        <v>282</v>
      </c>
      <c r="G5" s="35" t="s">
        <v>0</v>
      </c>
      <c r="H5" s="35" t="s">
        <v>1</v>
      </c>
      <c r="I5" s="35" t="s">
        <v>2</v>
      </c>
      <c r="J5" s="35" t="s">
        <v>3</v>
      </c>
      <c r="K5" s="35" t="s">
        <v>4</v>
      </c>
      <c r="L5" s="35" t="s">
        <v>34</v>
      </c>
      <c r="M5" s="2" t="s">
        <v>283</v>
      </c>
      <c r="N5" s="35" t="s">
        <v>284</v>
      </c>
    </row>
    <row r="6" spans="1:14">
      <c r="A6" s="127" t="s">
        <v>285</v>
      </c>
      <c r="B6" s="128"/>
      <c r="C6" s="129"/>
      <c r="D6" s="128"/>
      <c r="E6" s="128"/>
      <c r="F6" s="89"/>
      <c r="G6" s="89"/>
      <c r="H6" s="89"/>
      <c r="I6" s="89"/>
      <c r="J6" s="89"/>
      <c r="K6" s="89"/>
      <c r="L6" s="89"/>
      <c r="M6" s="89"/>
      <c r="N6" s="89"/>
    </row>
    <row r="7" spans="1:14">
      <c r="A7" s="36" t="s">
        <v>286</v>
      </c>
      <c r="B7" s="36"/>
      <c r="C7" s="37" t="s">
        <v>287</v>
      </c>
      <c r="D7" s="38"/>
      <c r="E7" s="263">
        <v>0</v>
      </c>
      <c r="F7" s="309">
        <f t="shared" ref="F7:F12" si="0">SUM(G7:M7)</f>
        <v>0</v>
      </c>
      <c r="G7" s="310">
        <v>0</v>
      </c>
      <c r="H7" s="310">
        <v>0</v>
      </c>
      <c r="I7" s="310">
        <v>0</v>
      </c>
      <c r="J7" s="310">
        <v>0</v>
      </c>
      <c r="K7" s="310">
        <v>0</v>
      </c>
      <c r="L7" s="310">
        <v>0</v>
      </c>
      <c r="M7" s="311">
        <v>0</v>
      </c>
      <c r="N7" s="355"/>
    </row>
    <row r="8" spans="1:14" ht="15.05" customHeight="1">
      <c r="A8" s="36" t="s">
        <v>286</v>
      </c>
      <c r="B8" s="36"/>
      <c r="C8" s="37" t="s">
        <v>287</v>
      </c>
      <c r="D8" s="39"/>
      <c r="E8" s="263">
        <v>0</v>
      </c>
      <c r="F8" s="309">
        <f t="shared" si="0"/>
        <v>0</v>
      </c>
      <c r="G8" s="310">
        <v>0</v>
      </c>
      <c r="H8" s="310">
        <v>0</v>
      </c>
      <c r="I8" s="310">
        <v>0</v>
      </c>
      <c r="J8" s="310">
        <v>0</v>
      </c>
      <c r="K8" s="310">
        <v>0</v>
      </c>
      <c r="L8" s="310">
        <v>0</v>
      </c>
      <c r="M8" s="311">
        <v>0</v>
      </c>
      <c r="N8" s="35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55"/>
    </row>
    <row r="10" spans="1:14">
      <c r="A10" s="36" t="s">
        <v>286</v>
      </c>
      <c r="B10" s="264"/>
      <c r="C10" s="37" t="s">
        <v>287</v>
      </c>
      <c r="D10" s="39"/>
      <c r="E10" s="263">
        <v>0</v>
      </c>
      <c r="F10" s="309">
        <f t="shared" si="0"/>
        <v>0</v>
      </c>
      <c r="G10" s="310">
        <v>0</v>
      </c>
      <c r="H10" s="310">
        <v>0</v>
      </c>
      <c r="I10" s="310">
        <v>0</v>
      </c>
      <c r="J10" s="310">
        <v>0</v>
      </c>
      <c r="K10" s="310">
        <v>0</v>
      </c>
      <c r="L10" s="310">
        <v>0</v>
      </c>
      <c r="M10" s="311">
        <v>0</v>
      </c>
      <c r="N10" s="355"/>
    </row>
    <row r="11" spans="1:14">
      <c r="A11" s="36" t="s">
        <v>286</v>
      </c>
      <c r="B11" s="264"/>
      <c r="C11" s="37" t="s">
        <v>287</v>
      </c>
      <c r="D11" s="39"/>
      <c r="E11" s="263">
        <v>0</v>
      </c>
      <c r="F11" s="309">
        <f t="shared" si="0"/>
        <v>0</v>
      </c>
      <c r="G11" s="310">
        <v>0</v>
      </c>
      <c r="H11" s="310">
        <v>0</v>
      </c>
      <c r="I11" s="310">
        <v>0</v>
      </c>
      <c r="J11" s="310">
        <v>0</v>
      </c>
      <c r="K11" s="310">
        <v>0</v>
      </c>
      <c r="L11" s="310">
        <v>0</v>
      </c>
      <c r="M11" s="311">
        <v>0</v>
      </c>
      <c r="N11" s="355"/>
    </row>
    <row r="12" spans="1:14">
      <c r="A12" s="36" t="s">
        <v>286</v>
      </c>
      <c r="B12" s="265"/>
      <c r="C12" s="37" t="s">
        <v>287</v>
      </c>
      <c r="D12" s="39"/>
      <c r="E12" s="263">
        <v>0</v>
      </c>
      <c r="F12" s="309">
        <f t="shared" si="0"/>
        <v>0</v>
      </c>
      <c r="G12" s="310">
        <v>0</v>
      </c>
      <c r="H12" s="310">
        <v>0</v>
      </c>
      <c r="I12" s="310">
        <v>0</v>
      </c>
      <c r="J12" s="310">
        <v>0</v>
      </c>
      <c r="K12" s="310">
        <v>0</v>
      </c>
      <c r="L12" s="310">
        <v>0</v>
      </c>
      <c r="M12" s="311">
        <v>0</v>
      </c>
      <c r="N12" s="355"/>
    </row>
    <row r="13" spans="1:14">
      <c r="A13" s="40" t="s">
        <v>288</v>
      </c>
      <c r="B13" s="265"/>
      <c r="C13" s="266"/>
      <c r="D13" s="41">
        <f t="shared" ref="D13:M13" si="1">SUM(D7:D12)</f>
        <v>0</v>
      </c>
      <c r="E13" s="42">
        <v>0</v>
      </c>
      <c r="F13" s="43">
        <f t="shared" si="1"/>
        <v>0</v>
      </c>
      <c r="G13" s="43">
        <f t="shared" si="1"/>
        <v>0</v>
      </c>
      <c r="H13" s="43">
        <f t="shared" si="1"/>
        <v>0</v>
      </c>
      <c r="I13" s="43">
        <f t="shared" si="1"/>
        <v>0</v>
      </c>
      <c r="J13" s="43">
        <f t="shared" si="1"/>
        <v>0</v>
      </c>
      <c r="K13" s="43">
        <f t="shared" si="1"/>
        <v>0</v>
      </c>
      <c r="L13" s="43">
        <f t="shared" si="1"/>
        <v>0</v>
      </c>
      <c r="M13" s="43">
        <f t="shared" si="1"/>
        <v>0</v>
      </c>
      <c r="N13" s="355"/>
    </row>
    <row r="14" spans="1:14">
      <c r="A14" s="127" t="s">
        <v>289</v>
      </c>
      <c r="B14" s="128"/>
      <c r="C14" s="129"/>
      <c r="D14" s="128"/>
      <c r="E14" s="128"/>
      <c r="F14" s="89"/>
      <c r="G14" s="89"/>
      <c r="H14" s="89"/>
      <c r="I14" s="89"/>
      <c r="J14" s="89"/>
      <c r="K14" s="89"/>
      <c r="L14" s="89"/>
      <c r="M14" s="89"/>
      <c r="N14" s="89"/>
    </row>
    <row r="15" spans="1:14" ht="148.44999999999999">
      <c r="A15" s="264" t="s">
        <v>372</v>
      </c>
      <c r="B15" s="264" t="s">
        <v>373</v>
      </c>
      <c r="C15" s="44">
        <v>253</v>
      </c>
      <c r="D15" s="45"/>
      <c r="E15" s="263">
        <v>70</v>
      </c>
      <c r="F15" s="357">
        <f>SUM(G15:M15)</f>
        <v>70</v>
      </c>
      <c r="G15" s="310">
        <v>0</v>
      </c>
      <c r="H15" s="310">
        <v>0</v>
      </c>
      <c r="I15" s="310">
        <v>0</v>
      </c>
      <c r="J15" s="310">
        <v>0</v>
      </c>
      <c r="K15" s="310">
        <v>0</v>
      </c>
      <c r="L15" s="310">
        <v>70</v>
      </c>
      <c r="M15" s="311">
        <v>0</v>
      </c>
      <c r="N15" s="93" t="s">
        <v>374</v>
      </c>
    </row>
    <row r="16" spans="1:14" ht="118.8">
      <c r="A16" s="264" t="s">
        <v>375</v>
      </c>
      <c r="B16" s="264" t="s">
        <v>376</v>
      </c>
      <c r="C16" s="44">
        <v>253</v>
      </c>
      <c r="D16" s="45"/>
      <c r="E16" s="263">
        <v>30</v>
      </c>
      <c r="F16" s="357">
        <f>SUM(G16:M16)</f>
        <v>0</v>
      </c>
      <c r="G16" s="310">
        <v>0</v>
      </c>
      <c r="H16" s="310">
        <v>0</v>
      </c>
      <c r="I16" s="310">
        <v>0</v>
      </c>
      <c r="J16" s="310">
        <v>0</v>
      </c>
      <c r="K16" s="310">
        <v>0</v>
      </c>
      <c r="L16" s="310">
        <v>0</v>
      </c>
      <c r="M16" s="311">
        <v>0</v>
      </c>
      <c r="N16" s="327" t="s">
        <v>1308</v>
      </c>
    </row>
    <row r="17" spans="1:14" s="381" customFormat="1" ht="148.44999999999999">
      <c r="A17" s="264" t="s">
        <v>377</v>
      </c>
      <c r="B17" s="264" t="s">
        <v>376</v>
      </c>
      <c r="C17" s="44">
        <v>253</v>
      </c>
      <c r="D17" s="45"/>
      <c r="E17" s="263">
        <v>30</v>
      </c>
      <c r="F17" s="357">
        <f>SUM(G17:M17)</f>
        <v>30</v>
      </c>
      <c r="G17" s="310">
        <v>0</v>
      </c>
      <c r="H17" s="157"/>
      <c r="I17" s="310">
        <v>0</v>
      </c>
      <c r="J17" s="310">
        <v>0</v>
      </c>
      <c r="K17" s="310">
        <v>30</v>
      </c>
      <c r="L17" s="310">
        <v>0</v>
      </c>
      <c r="M17" s="311">
        <v>0</v>
      </c>
      <c r="N17" s="327" t="s">
        <v>378</v>
      </c>
    </row>
    <row r="18" spans="1:14">
      <c r="A18" s="264" t="s">
        <v>379</v>
      </c>
      <c r="B18" s="264"/>
      <c r="C18" s="44">
        <v>253</v>
      </c>
      <c r="D18" s="267"/>
      <c r="E18" s="263">
        <v>0</v>
      </c>
      <c r="F18" s="357">
        <f>SUM(G18:M18)</f>
        <v>0</v>
      </c>
      <c r="G18" s="310"/>
      <c r="H18" s="157"/>
      <c r="I18" s="310"/>
      <c r="J18" s="310"/>
      <c r="K18" s="310">
        <v>0</v>
      </c>
      <c r="L18" s="310"/>
      <c r="M18" s="311"/>
      <c r="N18" s="93"/>
    </row>
    <row r="19" spans="1:14">
      <c r="A19" s="264" t="s">
        <v>290</v>
      </c>
      <c r="B19" s="264"/>
      <c r="C19" s="44">
        <v>253</v>
      </c>
      <c r="D19" s="267"/>
      <c r="E19" s="263">
        <v>0</v>
      </c>
      <c r="F19" s="357">
        <f>SUM(G19:M19)</f>
        <v>0</v>
      </c>
      <c r="G19" s="310"/>
      <c r="H19" s="157"/>
      <c r="I19" s="310"/>
      <c r="J19" s="310"/>
      <c r="K19" s="310">
        <v>0</v>
      </c>
      <c r="L19" s="310"/>
      <c r="M19" s="311"/>
      <c r="N19" s="327"/>
    </row>
    <row r="20" spans="1:14">
      <c r="A20" s="40" t="s">
        <v>294</v>
      </c>
      <c r="B20" s="265"/>
      <c r="C20" s="266"/>
      <c r="D20" s="267">
        <f>SUM(D15:D19)</f>
        <v>0</v>
      </c>
      <c r="E20" s="42">
        <f>SUM(E15:E19)</f>
        <v>130</v>
      </c>
      <c r="F20" s="43">
        <f t="shared" ref="F20:M20" si="2">SUM(F15:F19)</f>
        <v>100</v>
      </c>
      <c r="G20" s="43">
        <f t="shared" si="2"/>
        <v>0</v>
      </c>
      <c r="H20" s="43">
        <f t="shared" si="2"/>
        <v>0</v>
      </c>
      <c r="I20" s="43">
        <f t="shared" si="2"/>
        <v>0</v>
      </c>
      <c r="J20" s="43">
        <f t="shared" si="2"/>
        <v>0</v>
      </c>
      <c r="K20" s="43">
        <f t="shared" si="2"/>
        <v>30</v>
      </c>
      <c r="L20" s="43">
        <f t="shared" si="2"/>
        <v>70</v>
      </c>
      <c r="M20" s="43">
        <f t="shared" si="2"/>
        <v>0</v>
      </c>
      <c r="N20" s="355"/>
    </row>
    <row r="21" spans="1:14" s="7" customFormat="1">
      <c r="A21" s="127" t="s">
        <v>295</v>
      </c>
      <c r="B21" s="128"/>
      <c r="C21" s="129"/>
      <c r="D21" s="128"/>
      <c r="E21" s="128"/>
      <c r="F21" s="89"/>
      <c r="G21" s="89"/>
      <c r="H21" s="89"/>
      <c r="I21" s="89"/>
      <c r="J21" s="89"/>
      <c r="K21" s="89"/>
      <c r="L21" s="89"/>
      <c r="M21" s="89"/>
      <c r="N21" s="89"/>
    </row>
    <row r="22" spans="1:14" ht="15.05" customHeight="1">
      <c r="A22" s="264" t="s">
        <v>296</v>
      </c>
      <c r="B22" s="36"/>
      <c r="C22" s="37" t="s">
        <v>297</v>
      </c>
      <c r="D22" s="38">
        <v>0</v>
      </c>
      <c r="E22" s="263">
        <v>0</v>
      </c>
      <c r="F22" s="309">
        <v>0</v>
      </c>
      <c r="G22" s="310">
        <v>0</v>
      </c>
      <c r="H22" s="310">
        <v>0</v>
      </c>
      <c r="I22" s="310">
        <v>0</v>
      </c>
      <c r="J22" s="310">
        <v>0</v>
      </c>
      <c r="K22" s="310">
        <v>0</v>
      </c>
      <c r="L22" s="310">
        <v>0</v>
      </c>
      <c r="M22" s="311">
        <v>0</v>
      </c>
      <c r="N22" s="355"/>
    </row>
    <row r="23" spans="1:14">
      <c r="A23" s="264" t="s">
        <v>298</v>
      </c>
      <c r="B23" s="36"/>
      <c r="C23" s="44" t="s">
        <v>299</v>
      </c>
      <c r="D23" s="45"/>
      <c r="E23" s="263">
        <v>0</v>
      </c>
      <c r="F23" s="309">
        <v>0</v>
      </c>
      <c r="G23" s="310">
        <v>0</v>
      </c>
      <c r="H23" s="310">
        <v>0</v>
      </c>
      <c r="I23" s="310">
        <v>0</v>
      </c>
      <c r="J23" s="310">
        <v>0</v>
      </c>
      <c r="K23" s="310">
        <v>0</v>
      </c>
      <c r="L23" s="310">
        <v>0</v>
      </c>
      <c r="M23" s="311">
        <v>0</v>
      </c>
      <c r="N23" s="355"/>
    </row>
    <row r="24" spans="1:14">
      <c r="A24" s="264" t="s">
        <v>300</v>
      </c>
      <c r="B24" s="36"/>
      <c r="C24" s="44" t="s">
        <v>301</v>
      </c>
      <c r="D24" s="45"/>
      <c r="E24" s="263">
        <v>0</v>
      </c>
      <c r="F24" s="309">
        <v>0</v>
      </c>
      <c r="G24" s="310">
        <v>0</v>
      </c>
      <c r="H24" s="310">
        <v>0</v>
      </c>
      <c r="I24" s="310">
        <v>0</v>
      </c>
      <c r="J24" s="310">
        <v>0</v>
      </c>
      <c r="K24" s="310">
        <v>0</v>
      </c>
      <c r="L24" s="310">
        <v>0</v>
      </c>
      <c r="M24" s="311">
        <v>0</v>
      </c>
      <c r="N24" s="325"/>
    </row>
    <row r="25" spans="1:14">
      <c r="A25" s="264" t="s">
        <v>302</v>
      </c>
      <c r="B25" s="36"/>
      <c r="C25" s="44" t="s">
        <v>303</v>
      </c>
      <c r="D25" s="45"/>
      <c r="E25" s="263">
        <v>0</v>
      </c>
      <c r="F25" s="309">
        <v>0</v>
      </c>
      <c r="G25" s="310">
        <v>0</v>
      </c>
      <c r="H25" s="310">
        <v>0</v>
      </c>
      <c r="I25" s="310">
        <v>0</v>
      </c>
      <c r="J25" s="310">
        <v>0</v>
      </c>
      <c r="K25" s="310">
        <v>0</v>
      </c>
      <c r="L25" s="310">
        <v>0</v>
      </c>
      <c r="M25" s="311">
        <v>0</v>
      </c>
      <c r="N25" s="355"/>
    </row>
    <row r="26" spans="1:14">
      <c r="A26" s="264" t="s">
        <v>304</v>
      </c>
      <c r="B26" s="36"/>
      <c r="C26" s="44">
        <v>251</v>
      </c>
      <c r="D26" s="45"/>
      <c r="E26" s="263">
        <v>0</v>
      </c>
      <c r="F26" s="309">
        <v>0</v>
      </c>
      <c r="G26" s="310">
        <v>0</v>
      </c>
      <c r="H26" s="310">
        <v>0</v>
      </c>
      <c r="I26" s="310">
        <v>0</v>
      </c>
      <c r="J26" s="310">
        <v>0</v>
      </c>
      <c r="K26" s="310">
        <v>0</v>
      </c>
      <c r="L26" s="310">
        <v>0</v>
      </c>
      <c r="M26" s="311">
        <v>0</v>
      </c>
      <c r="N26" s="355"/>
    </row>
    <row r="27" spans="1:14">
      <c r="A27" s="264" t="s">
        <v>313</v>
      </c>
      <c r="B27" s="36"/>
      <c r="C27" s="44">
        <v>252</v>
      </c>
      <c r="D27" s="45"/>
      <c r="E27" s="263">
        <v>0</v>
      </c>
      <c r="F27" s="309">
        <v>0</v>
      </c>
      <c r="G27" s="310">
        <v>0</v>
      </c>
      <c r="H27" s="310">
        <v>0</v>
      </c>
      <c r="I27" s="310">
        <v>0</v>
      </c>
      <c r="J27" s="310">
        <v>0</v>
      </c>
      <c r="K27" s="310">
        <v>0</v>
      </c>
      <c r="L27" s="310">
        <v>0</v>
      </c>
      <c r="M27" s="311">
        <v>0</v>
      </c>
      <c r="N27" s="355"/>
    </row>
    <row r="28" spans="1:14">
      <c r="A28" s="264" t="s">
        <v>314</v>
      </c>
      <c r="B28" s="36"/>
      <c r="C28" s="44">
        <v>252</v>
      </c>
      <c r="D28" s="45"/>
      <c r="E28" s="263">
        <v>0</v>
      </c>
      <c r="F28" s="309">
        <v>0</v>
      </c>
      <c r="G28" s="310">
        <v>0</v>
      </c>
      <c r="H28" s="310">
        <v>0</v>
      </c>
      <c r="I28" s="310">
        <v>0</v>
      </c>
      <c r="J28" s="310">
        <v>0</v>
      </c>
      <c r="K28" s="310">
        <v>0</v>
      </c>
      <c r="L28" s="310">
        <v>0</v>
      </c>
      <c r="M28" s="311">
        <v>0</v>
      </c>
      <c r="N28" s="355"/>
    </row>
    <row r="29" spans="1:14">
      <c r="A29" s="264" t="s">
        <v>315</v>
      </c>
      <c r="B29" s="36"/>
      <c r="C29" s="44">
        <v>253</v>
      </c>
      <c r="D29" s="264"/>
      <c r="E29" s="263">
        <v>0</v>
      </c>
      <c r="F29" s="309">
        <v>0</v>
      </c>
      <c r="G29" s="310">
        <v>0</v>
      </c>
      <c r="H29" s="310">
        <v>0</v>
      </c>
      <c r="I29" s="310">
        <v>0</v>
      </c>
      <c r="J29" s="310">
        <v>0</v>
      </c>
      <c r="K29" s="310">
        <v>0</v>
      </c>
      <c r="L29" s="310">
        <v>0</v>
      </c>
      <c r="M29" s="311">
        <v>0</v>
      </c>
      <c r="N29" s="355"/>
    </row>
    <row r="30" spans="1:14">
      <c r="A30" s="264" t="s">
        <v>316</v>
      </c>
      <c r="B30" s="36"/>
      <c r="C30" s="44">
        <v>255</v>
      </c>
      <c r="D30" s="264"/>
      <c r="E30" s="263">
        <v>0</v>
      </c>
      <c r="F30" s="309">
        <v>0</v>
      </c>
      <c r="G30" s="310">
        <v>0</v>
      </c>
      <c r="H30" s="310">
        <v>0</v>
      </c>
      <c r="I30" s="310">
        <v>0</v>
      </c>
      <c r="J30" s="310">
        <v>0</v>
      </c>
      <c r="K30" s="310">
        <v>0</v>
      </c>
      <c r="L30" s="310">
        <v>0</v>
      </c>
      <c r="M30" s="311">
        <v>0</v>
      </c>
      <c r="N30" s="355"/>
    </row>
    <row r="31" spans="1:14">
      <c r="A31" s="264" t="s">
        <v>317</v>
      </c>
      <c r="B31" s="36"/>
      <c r="C31" s="44">
        <v>256</v>
      </c>
      <c r="D31" s="264"/>
      <c r="E31" s="263">
        <v>0</v>
      </c>
      <c r="F31" s="309">
        <v>0</v>
      </c>
      <c r="G31" s="310">
        <v>0</v>
      </c>
      <c r="H31" s="310">
        <v>0</v>
      </c>
      <c r="I31" s="310">
        <v>0</v>
      </c>
      <c r="J31" s="310">
        <v>0</v>
      </c>
      <c r="K31" s="310">
        <v>0</v>
      </c>
      <c r="L31" s="310">
        <v>0</v>
      </c>
      <c r="M31" s="311">
        <v>0</v>
      </c>
      <c r="N31" s="355"/>
    </row>
    <row r="32" spans="1:14">
      <c r="A32" s="264" t="s">
        <v>318</v>
      </c>
      <c r="B32" s="36"/>
      <c r="C32" s="44">
        <v>257</v>
      </c>
      <c r="D32" s="264"/>
      <c r="E32" s="263">
        <v>0</v>
      </c>
      <c r="F32" s="309">
        <v>0</v>
      </c>
      <c r="G32" s="310">
        <v>0</v>
      </c>
      <c r="H32" s="310">
        <v>0</v>
      </c>
      <c r="I32" s="310">
        <v>0</v>
      </c>
      <c r="J32" s="310">
        <v>0</v>
      </c>
      <c r="K32" s="310">
        <v>0</v>
      </c>
      <c r="L32" s="310">
        <v>0</v>
      </c>
      <c r="M32" s="311">
        <v>0</v>
      </c>
      <c r="N32" s="355"/>
    </row>
    <row r="33" spans="1:14">
      <c r="A33" s="264" t="s">
        <v>319</v>
      </c>
      <c r="B33" s="36"/>
      <c r="C33" s="44" t="s">
        <v>320</v>
      </c>
      <c r="D33" s="264"/>
      <c r="E33" s="263">
        <v>0</v>
      </c>
      <c r="F33" s="309">
        <v>0</v>
      </c>
      <c r="G33" s="310">
        <v>0</v>
      </c>
      <c r="H33" s="310">
        <v>0</v>
      </c>
      <c r="I33" s="310">
        <v>0</v>
      </c>
      <c r="J33" s="310">
        <v>0</v>
      </c>
      <c r="K33" s="310">
        <v>0</v>
      </c>
      <c r="L33" s="310">
        <v>0</v>
      </c>
      <c r="M33" s="311">
        <v>0</v>
      </c>
      <c r="N33" s="355"/>
    </row>
    <row r="34" spans="1:14">
      <c r="A34" s="265" t="s">
        <v>321</v>
      </c>
      <c r="B34" s="36"/>
      <c r="C34" s="266" t="s">
        <v>322</v>
      </c>
      <c r="D34" s="265"/>
      <c r="E34" s="263">
        <v>0</v>
      </c>
      <c r="F34" s="309">
        <v>0</v>
      </c>
      <c r="G34" s="310">
        <v>0</v>
      </c>
      <c r="H34" s="310">
        <v>0</v>
      </c>
      <c r="I34" s="310">
        <v>0</v>
      </c>
      <c r="J34" s="310">
        <v>0</v>
      </c>
      <c r="K34" s="310">
        <v>0</v>
      </c>
      <c r="L34" s="310">
        <v>0</v>
      </c>
      <c r="M34" s="311">
        <v>0</v>
      </c>
      <c r="N34" s="355"/>
    </row>
    <row r="35" spans="1:14">
      <c r="A35" s="40" t="s">
        <v>326</v>
      </c>
      <c r="B35" s="265"/>
      <c r="C35" s="266"/>
      <c r="D35" s="267"/>
      <c r="E35" s="42">
        <v>0</v>
      </c>
      <c r="F35" s="43">
        <f t="shared" ref="F35:M35" si="3">SUM(F22:F34)</f>
        <v>0</v>
      </c>
      <c r="G35" s="43">
        <f t="shared" si="3"/>
        <v>0</v>
      </c>
      <c r="H35" s="43">
        <f t="shared" si="3"/>
        <v>0</v>
      </c>
      <c r="I35" s="43">
        <f t="shared" si="3"/>
        <v>0</v>
      </c>
      <c r="J35" s="43">
        <f t="shared" si="3"/>
        <v>0</v>
      </c>
      <c r="K35" s="43">
        <f t="shared" si="3"/>
        <v>0</v>
      </c>
      <c r="L35" s="43">
        <f t="shared" si="3"/>
        <v>0</v>
      </c>
      <c r="M35" s="43">
        <f t="shared" si="3"/>
        <v>0</v>
      </c>
      <c r="N35" s="355"/>
    </row>
    <row r="36" spans="1:14" s="151" customFormat="1" ht="29.7">
      <c r="A36" s="40" t="s">
        <v>327</v>
      </c>
      <c r="B36" s="51"/>
      <c r="C36" s="149"/>
      <c r="D36" s="267"/>
      <c r="E36" s="241">
        <v>0</v>
      </c>
      <c r="F36" s="240">
        <f>SUM(G36:L36)</f>
        <v>30</v>
      </c>
      <c r="G36" s="240"/>
      <c r="H36" s="240">
        <v>0</v>
      </c>
      <c r="I36" s="240"/>
      <c r="J36" s="240"/>
      <c r="K36" s="240">
        <v>30</v>
      </c>
      <c r="L36" s="240"/>
      <c r="M36" s="240"/>
      <c r="N36" s="325" t="s">
        <v>1307</v>
      </c>
    </row>
    <row r="37" spans="1:14">
      <c r="A37" s="40" t="s">
        <v>328</v>
      </c>
      <c r="B37" s="46"/>
      <c r="C37" s="47"/>
      <c r="D37" s="48">
        <f>D35+D20+D13</f>
        <v>0</v>
      </c>
      <c r="E37" s="42">
        <f t="shared" ref="E37:M37" si="4">E35+E20+E13-E36</f>
        <v>130</v>
      </c>
      <c r="F37" s="17">
        <f t="shared" si="4"/>
        <v>70</v>
      </c>
      <c r="G37" s="17">
        <f t="shared" si="4"/>
        <v>0</v>
      </c>
      <c r="H37" s="17">
        <f t="shared" si="4"/>
        <v>0</v>
      </c>
      <c r="I37" s="17">
        <f t="shared" si="4"/>
        <v>0</v>
      </c>
      <c r="J37" s="17">
        <f t="shared" si="4"/>
        <v>0</v>
      </c>
      <c r="K37" s="17">
        <f t="shared" si="4"/>
        <v>0</v>
      </c>
      <c r="L37" s="17">
        <f t="shared" si="4"/>
        <v>70</v>
      </c>
      <c r="M37" s="17">
        <f t="shared" si="4"/>
        <v>0</v>
      </c>
      <c r="N37" s="353"/>
    </row>
    <row r="40" spans="1:14" s="381" customFormat="1" ht="15.6" thickBot="1">
      <c r="A40" s="31"/>
      <c r="B40" s="31"/>
      <c r="C40" s="32"/>
      <c r="D40" s="31"/>
      <c r="E40" s="31"/>
      <c r="F40" s="31"/>
      <c r="G40" s="31"/>
      <c r="H40" s="31"/>
      <c r="I40" s="31"/>
      <c r="J40" s="31"/>
      <c r="K40" s="31"/>
      <c r="L40" s="31"/>
      <c r="M40" s="31"/>
      <c r="N40" s="562"/>
    </row>
    <row r="41" spans="1:14" s="381" customFormat="1" ht="15.6">
      <c r="A41" s="764" t="s">
        <v>330</v>
      </c>
      <c r="B41" s="765"/>
      <c r="C41" s="765"/>
      <c r="D41" s="765"/>
      <c r="E41" s="765"/>
      <c r="F41" s="765"/>
      <c r="G41" s="581"/>
      <c r="H41" s="31"/>
      <c r="I41" s="31"/>
      <c r="J41" s="31"/>
      <c r="K41" s="31"/>
      <c r="L41" s="31"/>
      <c r="M41" s="31"/>
      <c r="N41" s="562"/>
    </row>
    <row r="42" spans="1:14" s="381" customFormat="1" ht="15.6">
      <c r="A42" s="738"/>
      <c r="B42" s="739"/>
      <c r="C42" s="739"/>
      <c r="D42" s="739"/>
      <c r="E42" s="739"/>
      <c r="F42" s="739"/>
      <c r="G42" s="582"/>
      <c r="H42" s="31"/>
      <c r="I42" s="31"/>
      <c r="J42" s="31"/>
      <c r="K42" s="31"/>
      <c r="L42" s="31"/>
      <c r="M42" s="31"/>
      <c r="N42" s="562"/>
    </row>
    <row r="43" spans="1:14" s="381" customFormat="1">
      <c r="A43" s="740" t="s">
        <v>331</v>
      </c>
      <c r="B43" s="741"/>
      <c r="C43" s="583"/>
      <c r="D43" s="583"/>
      <c r="E43" s="583"/>
      <c r="F43" s="583"/>
      <c r="G43" s="582"/>
      <c r="H43" s="31"/>
      <c r="I43" s="31"/>
      <c r="J43" s="31"/>
      <c r="K43" s="31"/>
      <c r="L43" s="31"/>
      <c r="M43" s="31"/>
      <c r="N43" s="562"/>
    </row>
    <row r="44" spans="1:14" s="381" customFormat="1">
      <c r="A44" s="584" t="s">
        <v>361</v>
      </c>
      <c r="B44" s="585">
        <f>E37</f>
        <v>130</v>
      </c>
      <c r="C44" s="586"/>
      <c r="D44" s="587"/>
      <c r="E44" s="587"/>
      <c r="F44" s="587"/>
      <c r="G44" s="582"/>
      <c r="H44" s="31"/>
      <c r="I44" s="31"/>
      <c r="J44" s="31"/>
      <c r="K44" s="31"/>
      <c r="L44" s="31"/>
      <c r="M44" s="31"/>
      <c r="N44" s="562"/>
    </row>
    <row r="45" spans="1:14" s="381" customFormat="1">
      <c r="A45" s="588" t="s">
        <v>362</v>
      </c>
      <c r="B45" s="589">
        <f>F37</f>
        <v>70</v>
      </c>
      <c r="C45" s="586"/>
      <c r="D45" s="587"/>
      <c r="E45" s="587"/>
      <c r="F45" s="587"/>
      <c r="G45" s="582"/>
      <c r="H45" s="31"/>
      <c r="I45" s="31"/>
      <c r="J45" s="31"/>
      <c r="K45" s="31"/>
      <c r="L45" s="31"/>
      <c r="M45" s="31"/>
      <c r="N45" s="562"/>
    </row>
    <row r="46" spans="1:14" s="381" customFormat="1">
      <c r="A46" s="590" t="s">
        <v>334</v>
      </c>
      <c r="B46" s="591">
        <f>B45-B44</f>
        <v>-60</v>
      </c>
      <c r="C46" s="586"/>
      <c r="D46" s="587"/>
      <c r="E46" s="587"/>
      <c r="F46" s="587"/>
      <c r="G46" s="582"/>
      <c r="H46" s="31"/>
      <c r="I46" s="31"/>
      <c r="J46" s="31"/>
      <c r="K46" s="31"/>
      <c r="L46" s="31"/>
      <c r="M46" s="31"/>
      <c r="N46" s="562"/>
    </row>
    <row r="47" spans="1:14" s="381" customFormat="1">
      <c r="A47" s="590" t="s">
        <v>335</v>
      </c>
      <c r="B47" s="592">
        <f>B46/B44</f>
        <v>-0.46153846153846156</v>
      </c>
      <c r="C47" s="586"/>
      <c r="D47" s="587"/>
      <c r="E47" s="587"/>
      <c r="F47" s="587"/>
      <c r="G47" s="582"/>
      <c r="H47" s="31"/>
      <c r="I47" s="31"/>
      <c r="J47" s="31"/>
      <c r="K47" s="31"/>
      <c r="L47" s="31"/>
      <c r="M47" s="31"/>
      <c r="N47" s="562"/>
    </row>
    <row r="48" spans="1:14" s="381" customFormat="1">
      <c r="A48" s="593"/>
      <c r="B48" s="587"/>
      <c r="C48" s="686"/>
      <c r="D48" s="587"/>
      <c r="E48" s="587"/>
      <c r="F48" s="587"/>
      <c r="G48" s="582"/>
      <c r="H48" s="31"/>
      <c r="I48" s="31"/>
      <c r="J48" s="31"/>
      <c r="K48" s="31"/>
      <c r="L48" s="31"/>
      <c r="M48" s="31"/>
      <c r="N48" s="562"/>
    </row>
    <row r="49" spans="1:14" s="381" customFormat="1">
      <c r="A49" s="731" t="s">
        <v>336</v>
      </c>
      <c r="B49" s="732"/>
      <c r="C49" s="732"/>
      <c r="D49" s="732"/>
      <c r="E49" s="732"/>
      <c r="F49" s="732"/>
      <c r="G49" s="582"/>
      <c r="H49" s="31"/>
      <c r="I49" s="31"/>
      <c r="J49" s="31"/>
      <c r="K49" s="31"/>
      <c r="L49" s="31"/>
      <c r="M49" s="31"/>
      <c r="N49" s="562"/>
    </row>
    <row r="50" spans="1:14" s="381" customFormat="1">
      <c r="A50" s="742"/>
      <c r="B50" s="743"/>
      <c r="C50" s="743"/>
      <c r="D50" s="743"/>
      <c r="E50" s="743"/>
      <c r="F50" s="744"/>
      <c r="G50" s="582"/>
      <c r="H50" s="31"/>
      <c r="I50" s="31"/>
      <c r="J50" s="31"/>
      <c r="K50" s="31"/>
      <c r="L50" s="31"/>
      <c r="M50" s="31"/>
      <c r="N50" s="562"/>
    </row>
    <row r="51" spans="1:14" s="381" customFormat="1">
      <c r="A51" s="594"/>
      <c r="B51" s="595"/>
      <c r="C51" s="595"/>
      <c r="D51" s="595"/>
      <c r="E51" s="595"/>
      <c r="F51" s="595"/>
      <c r="G51" s="582"/>
      <c r="H51" s="31"/>
      <c r="I51" s="31"/>
      <c r="J51" s="31"/>
      <c r="K51" s="31"/>
      <c r="L51" s="31"/>
      <c r="M51" s="31"/>
      <c r="N51" s="562"/>
    </row>
    <row r="52" spans="1:14" s="381" customFormat="1">
      <c r="A52" s="596" t="s">
        <v>337</v>
      </c>
      <c r="B52" s="587"/>
      <c r="C52" s="686"/>
      <c r="D52" s="587"/>
      <c r="E52" s="587"/>
      <c r="F52" s="587"/>
      <c r="G52" s="582"/>
      <c r="H52" s="31"/>
      <c r="I52" s="31"/>
      <c r="J52" s="31"/>
      <c r="K52" s="31"/>
      <c r="L52" s="31"/>
      <c r="M52" s="31"/>
      <c r="N52" s="562"/>
    </row>
    <row r="53" spans="1:14" s="381" customFormat="1">
      <c r="A53" s="735"/>
      <c r="B53" s="736"/>
      <c r="C53" s="736"/>
      <c r="D53" s="736"/>
      <c r="E53" s="736"/>
      <c r="F53" s="737"/>
      <c r="G53" s="582"/>
      <c r="H53" s="31"/>
      <c r="I53" s="31"/>
      <c r="J53" s="31"/>
      <c r="K53" s="31"/>
      <c r="L53" s="31"/>
      <c r="M53" s="31"/>
      <c r="N53" s="562"/>
    </row>
    <row r="54" spans="1:14" s="381" customFormat="1">
      <c r="A54" s="593"/>
      <c r="B54" s="587"/>
      <c r="C54" s="686"/>
      <c r="D54" s="587"/>
      <c r="E54" s="587"/>
      <c r="F54" s="587"/>
      <c r="G54" s="582"/>
      <c r="H54" s="31"/>
      <c r="I54" s="31"/>
      <c r="J54" s="31"/>
      <c r="K54" s="31"/>
      <c r="L54" s="31"/>
      <c r="M54" s="31"/>
      <c r="N54" s="562"/>
    </row>
    <row r="55" spans="1:14" s="381" customFormat="1">
      <c r="A55" s="731" t="s">
        <v>365</v>
      </c>
      <c r="B55" s="732"/>
      <c r="C55" s="732"/>
      <c r="D55" s="732"/>
      <c r="E55" s="732"/>
      <c r="F55" s="732"/>
      <c r="G55" s="582"/>
      <c r="H55" s="31"/>
      <c r="I55" s="31"/>
      <c r="J55" s="31"/>
      <c r="K55" s="31"/>
      <c r="L55" s="31"/>
      <c r="M55" s="31"/>
      <c r="N55" s="562"/>
    </row>
    <row r="56" spans="1:14" s="381" customFormat="1">
      <c r="A56" s="733" t="s">
        <v>339</v>
      </c>
      <c r="B56" s="734"/>
      <c r="C56" s="734"/>
      <c r="D56" s="734"/>
      <c r="E56" s="734"/>
      <c r="F56" s="734"/>
      <c r="G56" s="582"/>
      <c r="H56" s="31"/>
      <c r="I56" s="31"/>
      <c r="J56" s="31"/>
      <c r="K56" s="31"/>
      <c r="L56" s="31"/>
      <c r="M56" s="31"/>
      <c r="N56" s="562"/>
    </row>
    <row r="57" spans="1:14" s="381" customFormat="1">
      <c r="A57" s="735"/>
      <c r="B57" s="736"/>
      <c r="C57" s="736"/>
      <c r="D57" s="736"/>
      <c r="E57" s="736"/>
      <c r="F57" s="737"/>
      <c r="G57" s="582"/>
      <c r="H57" s="31"/>
      <c r="I57" s="31"/>
      <c r="J57" s="31"/>
      <c r="K57" s="31"/>
      <c r="L57" s="31"/>
      <c r="M57" s="31"/>
      <c r="N57" s="562"/>
    </row>
    <row r="58" spans="1:14" s="381" customFormat="1">
      <c r="A58" s="596"/>
      <c r="B58" s="587"/>
      <c r="C58" s="686"/>
      <c r="D58" s="587"/>
      <c r="E58" s="587"/>
      <c r="F58" s="587"/>
      <c r="G58" s="582"/>
      <c r="H58" s="31"/>
      <c r="I58" s="31"/>
      <c r="J58" s="31"/>
      <c r="K58" s="31"/>
      <c r="L58" s="31"/>
      <c r="M58" s="31"/>
      <c r="N58" s="562"/>
    </row>
    <row r="59" spans="1:14" s="381" customFormat="1">
      <c r="A59" s="731" t="s">
        <v>340</v>
      </c>
      <c r="B59" s="732"/>
      <c r="C59" s="732"/>
      <c r="D59" s="732"/>
      <c r="E59" s="732"/>
      <c r="F59" s="587"/>
      <c r="G59" s="582"/>
      <c r="H59" s="31"/>
      <c r="I59" s="31"/>
      <c r="J59" s="31"/>
      <c r="K59" s="31"/>
      <c r="L59" s="31"/>
      <c r="M59" s="31"/>
      <c r="N59" s="562"/>
    </row>
    <row r="60" spans="1:14" s="381" customFormat="1">
      <c r="A60" s="728"/>
      <c r="B60" s="729"/>
      <c r="C60" s="729"/>
      <c r="D60" s="729"/>
      <c r="E60" s="729"/>
      <c r="F60" s="730"/>
      <c r="G60" s="582"/>
      <c r="H60" s="31"/>
      <c r="I60" s="31"/>
      <c r="J60" s="31"/>
      <c r="K60" s="31"/>
      <c r="L60" s="31"/>
      <c r="M60" s="31"/>
      <c r="N60" s="562"/>
    </row>
    <row r="61" spans="1:14" s="381" customFormat="1">
      <c r="A61" s="593"/>
      <c r="B61" s="587"/>
      <c r="C61" s="686"/>
      <c r="D61" s="587"/>
      <c r="E61" s="587"/>
      <c r="F61" s="587"/>
      <c r="G61" s="582"/>
      <c r="H61" s="31"/>
      <c r="I61" s="31"/>
      <c r="J61" s="31"/>
      <c r="K61" s="31"/>
      <c r="L61" s="31"/>
      <c r="M61" s="31"/>
      <c r="N61" s="562"/>
    </row>
    <row r="62" spans="1:14" s="381" customFormat="1">
      <c r="A62" s="596" t="s">
        <v>341</v>
      </c>
      <c r="B62" s="587"/>
      <c r="C62" s="686"/>
      <c r="D62" s="587"/>
      <c r="E62" s="587"/>
      <c r="F62" s="587"/>
      <c r="G62" s="582"/>
      <c r="H62" s="31"/>
      <c r="I62" s="31"/>
      <c r="J62" s="31"/>
      <c r="K62" s="31"/>
      <c r="L62" s="31"/>
      <c r="M62" s="31"/>
      <c r="N62" s="562"/>
    </row>
    <row r="63" spans="1:14" s="381" customFormat="1">
      <c r="A63" s="597" t="s">
        <v>342</v>
      </c>
      <c r="B63" s="587"/>
      <c r="C63" s="686"/>
      <c r="D63" s="587"/>
      <c r="E63" s="587"/>
      <c r="F63" s="587"/>
      <c r="G63" s="582"/>
      <c r="H63" s="31"/>
      <c r="I63" s="31"/>
      <c r="J63" s="31"/>
      <c r="K63" s="31"/>
      <c r="L63" s="31"/>
      <c r="M63" s="31"/>
      <c r="N63" s="562"/>
    </row>
    <row r="64" spans="1:14" s="381" customFormat="1" ht="26.2" customHeight="1">
      <c r="A64" s="719" t="s">
        <v>368</v>
      </c>
      <c r="B64" s="720"/>
      <c r="C64" s="720"/>
      <c r="D64" s="720"/>
      <c r="E64" s="720"/>
      <c r="F64" s="720"/>
      <c r="G64" s="582"/>
      <c r="H64" s="31"/>
      <c r="I64" s="31"/>
      <c r="J64" s="31"/>
      <c r="K64" s="31"/>
      <c r="L64" s="31"/>
      <c r="M64" s="31"/>
      <c r="N64" s="562"/>
    </row>
    <row r="65" spans="1:14" s="381" customFormat="1">
      <c r="A65" s="721"/>
      <c r="B65" s="722"/>
      <c r="C65" s="722"/>
      <c r="D65" s="722"/>
      <c r="E65" s="722"/>
      <c r="F65" s="723"/>
      <c r="G65" s="582"/>
      <c r="H65" s="31"/>
      <c r="I65" s="31"/>
      <c r="J65" s="31"/>
      <c r="K65" s="31"/>
      <c r="L65" s="31"/>
      <c r="M65" s="31"/>
      <c r="N65" s="562"/>
    </row>
    <row r="66" spans="1:14" s="381" customFormat="1">
      <c r="A66" s="724"/>
      <c r="B66" s="725"/>
      <c r="C66" s="725"/>
      <c r="D66" s="725"/>
      <c r="E66" s="725"/>
      <c r="F66" s="725"/>
      <c r="G66" s="582"/>
      <c r="H66" s="31"/>
      <c r="I66" s="31"/>
      <c r="J66" s="31"/>
      <c r="K66" s="31"/>
      <c r="L66" s="31"/>
      <c r="M66" s="31"/>
      <c r="N66" s="562"/>
    </row>
    <row r="67" spans="1:14" s="381" customFormat="1">
      <c r="A67" s="597" t="s">
        <v>344</v>
      </c>
      <c r="B67" s="587"/>
      <c r="C67" s="686"/>
      <c r="D67" s="587"/>
      <c r="E67" s="587"/>
      <c r="F67" s="587"/>
      <c r="G67" s="582"/>
      <c r="H67" s="31"/>
      <c r="I67" s="31"/>
      <c r="J67" s="31"/>
      <c r="K67" s="31"/>
      <c r="L67" s="31"/>
      <c r="M67" s="31"/>
      <c r="N67" s="562"/>
    </row>
    <row r="68" spans="1:14" s="381" customFormat="1" ht="28.8" customHeight="1">
      <c r="A68" s="726" t="s">
        <v>345</v>
      </c>
      <c r="B68" s="727"/>
      <c r="C68" s="727"/>
      <c r="D68" s="727"/>
      <c r="E68" s="727"/>
      <c r="F68" s="727"/>
      <c r="G68" s="582"/>
      <c r="H68" s="31"/>
      <c r="I68" s="31"/>
      <c r="J68" s="31"/>
      <c r="K68" s="31"/>
      <c r="L68" s="31"/>
      <c r="M68" s="31"/>
      <c r="N68" s="562"/>
    </row>
    <row r="69" spans="1:14" s="381" customFormat="1">
      <c r="A69" s="728"/>
      <c r="B69" s="729"/>
      <c r="C69" s="729"/>
      <c r="D69" s="729"/>
      <c r="E69" s="729"/>
      <c r="F69" s="730"/>
      <c r="G69" s="582"/>
      <c r="H69" s="31"/>
      <c r="I69" s="31"/>
      <c r="J69" s="31"/>
      <c r="K69" s="31"/>
      <c r="L69" s="31"/>
      <c r="M69" s="31"/>
      <c r="N69" s="562"/>
    </row>
    <row r="70" spans="1:14" s="381" customFormat="1" ht="15.6" thickBot="1">
      <c r="A70" s="598"/>
      <c r="B70" s="599"/>
      <c r="C70" s="600"/>
      <c r="D70" s="599"/>
      <c r="E70" s="599"/>
      <c r="F70" s="599"/>
      <c r="G70" s="601"/>
      <c r="H70" s="31"/>
      <c r="I70" s="31"/>
      <c r="J70" s="31"/>
      <c r="K70" s="31"/>
      <c r="L70" s="31"/>
      <c r="M70" s="31"/>
      <c r="N70" s="562"/>
    </row>
    <row r="71" spans="1:14" s="381" customFormat="1">
      <c r="A71" s="31"/>
      <c r="B71" s="31"/>
      <c r="C71" s="32"/>
      <c r="D71" s="31"/>
      <c r="E71" s="31"/>
      <c r="F71" s="31"/>
      <c r="G71" s="31"/>
      <c r="H71" s="31"/>
      <c r="I71" s="31"/>
      <c r="J71" s="31"/>
      <c r="K71" s="31"/>
      <c r="L71" s="31"/>
      <c r="M71" s="31"/>
      <c r="N71" s="562"/>
    </row>
  </sheetData>
  <mergeCells count="17">
    <mergeCell ref="A1:N1"/>
    <mergeCell ref="A41:F41"/>
    <mergeCell ref="A42:F42"/>
    <mergeCell ref="A43:B43"/>
    <mergeCell ref="A49:F49"/>
    <mergeCell ref="A50:F50"/>
    <mergeCell ref="A53:F53"/>
    <mergeCell ref="A55:F55"/>
    <mergeCell ref="A56:F56"/>
    <mergeCell ref="A57:F57"/>
    <mergeCell ref="A68:F68"/>
    <mergeCell ref="A69:F69"/>
    <mergeCell ref="A59:E59"/>
    <mergeCell ref="A60:F60"/>
    <mergeCell ref="A64:F64"/>
    <mergeCell ref="A65:F65"/>
    <mergeCell ref="A66:F66"/>
  </mergeCells>
  <printOptions horizontalCentered="1"/>
  <pageMargins left="0.2" right="0.2" top="0.75" bottom="0.75" header="0.3" footer="0.3"/>
  <pageSetup scale="68" fitToHeight="0" orientation="landscape" r:id="rId1"/>
  <headerFooter>
    <oddHeader xml:space="preserve">&amp;CDRAFT NOT FOR DISTRIBUTION, INTERNAL USE ONLY
</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N344"/>
  <sheetViews>
    <sheetView zoomScaleNormal="100" workbookViewId="0">
      <selection sqref="A1:N1"/>
    </sheetView>
  </sheetViews>
  <sheetFormatPr defaultColWidth="8.85546875" defaultRowHeight="14.85"/>
  <cols>
    <col min="1" max="1" width="42.28515625" style="354" customWidth="1"/>
    <col min="2" max="2" width="16" style="354" customWidth="1"/>
    <col min="3" max="3" width="7.7109375" style="152" customWidth="1"/>
    <col min="4" max="4" width="8.7109375" style="354" customWidth="1"/>
    <col min="5" max="5" width="10.7109375" style="354" customWidth="1"/>
    <col min="6" max="6" width="11" style="354" customWidth="1"/>
    <col min="7" max="7" width="9.5703125" style="354" customWidth="1"/>
    <col min="8" max="8" width="8.42578125" style="354" customWidth="1"/>
    <col min="9" max="10" width="7.140625" style="354" customWidth="1"/>
    <col min="11" max="11" width="7.7109375" style="354" customWidth="1"/>
    <col min="12" max="12" width="9.7109375" style="354" customWidth="1"/>
    <col min="13" max="13" width="9.140625" style="354" customWidth="1"/>
    <col min="14" max="14" width="36.42578125" style="354" customWidth="1"/>
    <col min="15" max="16384" width="8.85546875" style="354"/>
  </cols>
  <sheetData>
    <row r="1" spans="1:14" ht="15.6">
      <c r="A1" s="745" t="s">
        <v>227</v>
      </c>
      <c r="B1" s="745"/>
      <c r="C1" s="745"/>
      <c r="D1" s="745"/>
      <c r="E1" s="745"/>
      <c r="F1" s="745"/>
      <c r="G1" s="745"/>
      <c r="H1" s="745"/>
      <c r="I1" s="745"/>
      <c r="J1" s="745"/>
      <c r="K1" s="745"/>
      <c r="L1" s="745"/>
      <c r="M1" s="745"/>
      <c r="N1" s="745"/>
    </row>
    <row r="2" spans="1:14">
      <c r="A2" s="65" t="s">
        <v>380</v>
      </c>
      <c r="B2" s="381"/>
      <c r="C2" s="687"/>
      <c r="D2" s="381"/>
      <c r="E2" s="381"/>
      <c r="F2" s="381"/>
      <c r="G2" s="381"/>
      <c r="H2" s="381"/>
      <c r="I2" s="381"/>
      <c r="J2" s="381"/>
      <c r="K2" s="381"/>
      <c r="L2" s="381"/>
      <c r="M2" s="381"/>
      <c r="N2" s="381"/>
    </row>
    <row r="3" spans="1:14">
      <c r="A3" s="68" t="s">
        <v>381</v>
      </c>
      <c r="B3" s="381"/>
      <c r="C3" s="687"/>
      <c r="D3" s="381"/>
      <c r="E3" s="381"/>
      <c r="F3" s="554" t="s">
        <v>275</v>
      </c>
      <c r="G3" s="381"/>
      <c r="H3" s="381"/>
      <c r="I3" s="381"/>
      <c r="J3" s="381"/>
      <c r="K3" s="381"/>
      <c r="L3" s="381"/>
      <c r="M3" s="381"/>
      <c r="N3" s="381"/>
    </row>
    <row r="4" spans="1:14">
      <c r="A4" s="68" t="s">
        <v>382</v>
      </c>
      <c r="B4" s="31"/>
      <c r="C4" s="32"/>
      <c r="D4" s="31"/>
      <c r="E4" s="31"/>
      <c r="F4" s="381"/>
      <c r="G4" s="381"/>
      <c r="H4" s="381"/>
      <c r="I4" s="381"/>
      <c r="J4" s="381"/>
      <c r="K4" s="381"/>
      <c r="L4" s="381"/>
      <c r="M4" s="381"/>
      <c r="N4" s="381"/>
    </row>
    <row r="5" spans="1:14" ht="30.8" customHeight="1">
      <c r="A5" s="33"/>
      <c r="B5" s="33"/>
      <c r="C5" s="1" t="s">
        <v>278</v>
      </c>
      <c r="D5" s="2" t="s">
        <v>350</v>
      </c>
      <c r="E5" s="34" t="s">
        <v>280</v>
      </c>
      <c r="F5" s="35" t="s">
        <v>282</v>
      </c>
      <c r="G5" s="178" t="s">
        <v>0</v>
      </c>
      <c r="H5" s="178" t="s">
        <v>1</v>
      </c>
      <c r="I5" s="178" t="s">
        <v>2</v>
      </c>
      <c r="J5" s="178" t="s">
        <v>3</v>
      </c>
      <c r="K5" s="178" t="s">
        <v>4</v>
      </c>
      <c r="L5" s="178" t="s">
        <v>34</v>
      </c>
      <c r="M5" s="2" t="s">
        <v>283</v>
      </c>
      <c r="N5" s="178" t="s">
        <v>284</v>
      </c>
    </row>
    <row r="6" spans="1:14">
      <c r="A6" s="69" t="s">
        <v>285</v>
      </c>
      <c r="B6" s="375" t="s">
        <v>277</v>
      </c>
      <c r="C6" s="71"/>
      <c r="D6" s="70"/>
      <c r="E6" s="70"/>
      <c r="F6" s="72"/>
      <c r="G6" s="72"/>
      <c r="H6" s="72"/>
      <c r="I6" s="72"/>
      <c r="J6" s="72"/>
      <c r="K6" s="72"/>
      <c r="L6" s="72"/>
      <c r="M6" s="72"/>
      <c r="N6" s="72"/>
    </row>
    <row r="7" spans="1:14">
      <c r="A7" s="36" t="s">
        <v>286</v>
      </c>
      <c r="B7" s="36"/>
      <c r="C7" s="37" t="s">
        <v>287</v>
      </c>
      <c r="D7" s="38"/>
      <c r="E7" s="263">
        <v>0</v>
      </c>
      <c r="F7" s="309">
        <f>SUM(G7:M7)</f>
        <v>0</v>
      </c>
      <c r="G7" s="310">
        <v>0</v>
      </c>
      <c r="H7" s="310">
        <v>0</v>
      </c>
      <c r="I7" s="310">
        <v>0</v>
      </c>
      <c r="J7" s="310">
        <v>0</v>
      </c>
      <c r="K7" s="310">
        <v>0</v>
      </c>
      <c r="L7" s="310">
        <v>0</v>
      </c>
      <c r="M7" s="311">
        <v>0</v>
      </c>
      <c r="N7" s="325"/>
    </row>
    <row r="8" spans="1:14" ht="15.05" customHeight="1">
      <c r="A8" s="36" t="s">
        <v>286</v>
      </c>
      <c r="B8" s="36"/>
      <c r="C8" s="37" t="s">
        <v>287</v>
      </c>
      <c r="D8" s="39"/>
      <c r="E8" s="263">
        <v>0</v>
      </c>
      <c r="F8" s="309">
        <f t="shared" ref="F8:F15" si="0">SUM(G8:M8)</f>
        <v>0</v>
      </c>
      <c r="G8" s="310">
        <v>0</v>
      </c>
      <c r="H8" s="310">
        <v>0</v>
      </c>
      <c r="I8" s="310">
        <v>0</v>
      </c>
      <c r="J8" s="310">
        <v>0</v>
      </c>
      <c r="K8" s="310">
        <v>0</v>
      </c>
      <c r="L8" s="310">
        <v>0</v>
      </c>
      <c r="M8" s="311">
        <v>0</v>
      </c>
      <c r="N8" s="325"/>
    </row>
    <row r="9" spans="1:14" ht="15.05" customHeight="1">
      <c r="A9" s="36" t="s">
        <v>286</v>
      </c>
      <c r="B9" s="264"/>
      <c r="C9" s="37" t="s">
        <v>287</v>
      </c>
      <c r="D9" s="39"/>
      <c r="E9" s="263">
        <v>0</v>
      </c>
      <c r="F9" s="309">
        <f t="shared" si="0"/>
        <v>0</v>
      </c>
      <c r="G9" s="310">
        <v>0</v>
      </c>
      <c r="H9" s="310">
        <v>0</v>
      </c>
      <c r="I9" s="310">
        <v>0</v>
      </c>
      <c r="J9" s="310">
        <v>0</v>
      </c>
      <c r="K9" s="310">
        <v>0</v>
      </c>
      <c r="L9" s="310">
        <v>0</v>
      </c>
      <c r="M9" s="311">
        <v>0</v>
      </c>
      <c r="N9" s="325"/>
    </row>
    <row r="10" spans="1:14" ht="15.05" customHeight="1">
      <c r="A10" s="36" t="s">
        <v>286</v>
      </c>
      <c r="B10" s="264"/>
      <c r="C10" s="37" t="s">
        <v>287</v>
      </c>
      <c r="D10" s="39"/>
      <c r="E10" s="263">
        <v>0</v>
      </c>
      <c r="F10" s="309">
        <f t="shared" si="0"/>
        <v>0</v>
      </c>
      <c r="G10" s="310">
        <v>0</v>
      </c>
      <c r="H10" s="310">
        <v>0</v>
      </c>
      <c r="I10" s="310">
        <v>0</v>
      </c>
      <c r="J10" s="310">
        <v>0</v>
      </c>
      <c r="K10" s="310">
        <v>0</v>
      </c>
      <c r="L10" s="310">
        <v>0</v>
      </c>
      <c r="M10" s="311">
        <v>0</v>
      </c>
      <c r="N10" s="325"/>
    </row>
    <row r="11" spans="1:14" ht="15.05" customHeight="1">
      <c r="A11" s="36" t="s">
        <v>286</v>
      </c>
      <c r="B11" s="36"/>
      <c r="C11" s="37" t="s">
        <v>287</v>
      </c>
      <c r="D11" s="39"/>
      <c r="E11" s="263">
        <v>0</v>
      </c>
      <c r="F11" s="309">
        <f t="shared" si="0"/>
        <v>0</v>
      </c>
      <c r="G11" s="310">
        <v>0</v>
      </c>
      <c r="H11" s="310">
        <v>0</v>
      </c>
      <c r="I11" s="310">
        <v>0</v>
      </c>
      <c r="J11" s="310">
        <v>0</v>
      </c>
      <c r="K11" s="310">
        <v>0</v>
      </c>
      <c r="L11" s="310">
        <v>0</v>
      </c>
      <c r="M11" s="311">
        <v>0</v>
      </c>
      <c r="N11" s="325"/>
    </row>
    <row r="12" spans="1:14" ht="15.05" customHeight="1">
      <c r="A12" s="36" t="s">
        <v>286</v>
      </c>
      <c r="B12" s="264"/>
      <c r="C12" s="37" t="s">
        <v>287</v>
      </c>
      <c r="D12" s="39"/>
      <c r="E12" s="263">
        <v>0</v>
      </c>
      <c r="F12" s="309">
        <f t="shared" si="0"/>
        <v>0</v>
      </c>
      <c r="G12" s="310">
        <v>0</v>
      </c>
      <c r="H12" s="310">
        <v>0</v>
      </c>
      <c r="I12" s="310">
        <v>0</v>
      </c>
      <c r="J12" s="310">
        <v>0</v>
      </c>
      <c r="K12" s="310">
        <v>0</v>
      </c>
      <c r="L12" s="310">
        <v>0</v>
      </c>
      <c r="M12" s="311">
        <v>0</v>
      </c>
      <c r="N12" s="325"/>
    </row>
    <row r="13" spans="1:14">
      <c r="A13" s="36" t="s">
        <v>286</v>
      </c>
      <c r="B13" s="264"/>
      <c r="C13" s="37" t="s">
        <v>287</v>
      </c>
      <c r="D13" s="39"/>
      <c r="E13" s="263">
        <v>0</v>
      </c>
      <c r="F13" s="309">
        <f t="shared" si="0"/>
        <v>0</v>
      </c>
      <c r="G13" s="310">
        <v>0</v>
      </c>
      <c r="H13" s="310">
        <v>0</v>
      </c>
      <c r="I13" s="310">
        <v>0</v>
      </c>
      <c r="J13" s="310">
        <v>0</v>
      </c>
      <c r="K13" s="310">
        <v>0</v>
      </c>
      <c r="L13" s="310">
        <v>0</v>
      </c>
      <c r="M13" s="311">
        <v>0</v>
      </c>
      <c r="N13" s="325"/>
    </row>
    <row r="14" spans="1:14">
      <c r="A14" s="36" t="s">
        <v>286</v>
      </c>
      <c r="B14" s="264"/>
      <c r="C14" s="37" t="s">
        <v>287</v>
      </c>
      <c r="D14" s="39"/>
      <c r="E14" s="263">
        <v>0</v>
      </c>
      <c r="F14" s="309">
        <f t="shared" si="0"/>
        <v>0</v>
      </c>
      <c r="G14" s="310">
        <v>0</v>
      </c>
      <c r="H14" s="310">
        <v>0</v>
      </c>
      <c r="I14" s="310">
        <v>0</v>
      </c>
      <c r="J14" s="310">
        <v>0</v>
      </c>
      <c r="K14" s="310">
        <v>0</v>
      </c>
      <c r="L14" s="310">
        <v>0</v>
      </c>
      <c r="M14" s="311">
        <v>0</v>
      </c>
      <c r="N14" s="325"/>
    </row>
    <row r="15" spans="1:14">
      <c r="A15" s="36" t="s">
        <v>286</v>
      </c>
      <c r="B15" s="265"/>
      <c r="C15" s="37" t="s">
        <v>287</v>
      </c>
      <c r="D15" s="39"/>
      <c r="E15" s="263">
        <v>0</v>
      </c>
      <c r="F15" s="309">
        <f t="shared" si="0"/>
        <v>0</v>
      </c>
      <c r="G15" s="310">
        <v>0</v>
      </c>
      <c r="H15" s="310">
        <v>0</v>
      </c>
      <c r="I15" s="310">
        <v>0</v>
      </c>
      <c r="J15" s="310">
        <v>0</v>
      </c>
      <c r="K15" s="310">
        <v>0</v>
      </c>
      <c r="L15" s="310">
        <v>0</v>
      </c>
      <c r="M15" s="311">
        <v>0</v>
      </c>
      <c r="N15" s="325"/>
    </row>
    <row r="16" spans="1:14">
      <c r="A16" s="40" t="s">
        <v>288</v>
      </c>
      <c r="B16" s="265"/>
      <c r="C16" s="266"/>
      <c r="D16" s="41">
        <f t="shared" ref="D16:M16" si="1">SUM(D7:D15)</f>
        <v>0</v>
      </c>
      <c r="E16" s="42">
        <f t="shared" si="1"/>
        <v>0</v>
      </c>
      <c r="F16" s="43">
        <f t="shared" si="1"/>
        <v>0</v>
      </c>
      <c r="G16" s="43">
        <f t="shared" si="1"/>
        <v>0</v>
      </c>
      <c r="H16" s="43">
        <f t="shared" si="1"/>
        <v>0</v>
      </c>
      <c r="I16" s="43">
        <f t="shared" si="1"/>
        <v>0</v>
      </c>
      <c r="J16" s="43">
        <f t="shared" si="1"/>
        <v>0</v>
      </c>
      <c r="K16" s="43">
        <f t="shared" si="1"/>
        <v>0</v>
      </c>
      <c r="L16" s="43">
        <f t="shared" si="1"/>
        <v>0</v>
      </c>
      <c r="M16" s="43">
        <f t="shared" si="1"/>
        <v>0</v>
      </c>
      <c r="N16" s="255"/>
    </row>
    <row r="17" spans="1:14">
      <c r="A17" s="69" t="s">
        <v>289</v>
      </c>
      <c r="B17" s="375" t="s">
        <v>383</v>
      </c>
      <c r="C17" s="71"/>
      <c r="D17" s="70"/>
      <c r="E17" s="70"/>
      <c r="F17" s="72"/>
      <c r="G17" s="72"/>
      <c r="H17" s="72"/>
      <c r="I17" s="72"/>
      <c r="J17" s="72"/>
      <c r="K17" s="72"/>
      <c r="L17" s="72"/>
      <c r="M17" s="72"/>
      <c r="N17" s="376"/>
    </row>
    <row r="18" spans="1:14">
      <c r="A18" s="264" t="s">
        <v>384</v>
      </c>
      <c r="B18" s="264"/>
      <c r="C18" s="44">
        <v>253</v>
      </c>
      <c r="D18" s="45"/>
      <c r="E18" s="263">
        <v>0</v>
      </c>
      <c r="F18" s="357">
        <f>SUM(G18:M18)</f>
        <v>0</v>
      </c>
      <c r="G18" s="310">
        <v>0</v>
      </c>
      <c r="H18" s="310">
        <v>0</v>
      </c>
      <c r="I18" s="310">
        <v>0</v>
      </c>
      <c r="J18" s="310">
        <v>0</v>
      </c>
      <c r="K18" s="310">
        <v>0</v>
      </c>
      <c r="L18" s="310">
        <v>0</v>
      </c>
      <c r="M18" s="311">
        <v>0</v>
      </c>
      <c r="N18" s="327"/>
    </row>
    <row r="19" spans="1:14">
      <c r="A19" s="264" t="s">
        <v>384</v>
      </c>
      <c r="B19" s="264"/>
      <c r="C19" s="44">
        <v>253</v>
      </c>
      <c r="D19" s="45"/>
      <c r="E19" s="263">
        <v>0</v>
      </c>
      <c r="F19" s="357">
        <f>SUM(G19:M19)</f>
        <v>0</v>
      </c>
      <c r="G19" s="310">
        <v>0</v>
      </c>
      <c r="H19" s="310">
        <v>0</v>
      </c>
      <c r="I19" s="310">
        <v>0</v>
      </c>
      <c r="J19" s="310">
        <v>0</v>
      </c>
      <c r="K19" s="310">
        <v>0</v>
      </c>
      <c r="L19" s="310">
        <v>0</v>
      </c>
      <c r="M19" s="311">
        <v>0</v>
      </c>
      <c r="N19" s="327"/>
    </row>
    <row r="20" spans="1:14">
      <c r="A20" s="73" t="s">
        <v>384</v>
      </c>
      <c r="B20" s="264"/>
      <c r="C20" s="44">
        <v>253</v>
      </c>
      <c r="D20" s="267"/>
      <c r="E20" s="263">
        <v>0</v>
      </c>
      <c r="F20" s="357">
        <f>SUM(G20:M20)</f>
        <v>0</v>
      </c>
      <c r="G20" s="310">
        <v>0</v>
      </c>
      <c r="H20" s="310">
        <v>0</v>
      </c>
      <c r="I20" s="310">
        <v>0</v>
      </c>
      <c r="J20" s="310">
        <v>0</v>
      </c>
      <c r="K20" s="310">
        <v>0</v>
      </c>
      <c r="L20" s="310">
        <v>0</v>
      </c>
      <c r="M20" s="311">
        <v>0</v>
      </c>
      <c r="N20" s="325"/>
    </row>
    <row r="21" spans="1:14">
      <c r="A21" s="73" t="s">
        <v>384</v>
      </c>
      <c r="B21" s="264"/>
      <c r="C21" s="44">
        <v>253</v>
      </c>
      <c r="D21" s="267"/>
      <c r="E21" s="263">
        <v>0</v>
      </c>
      <c r="F21" s="357">
        <f>SUM(G21:M21)</f>
        <v>0</v>
      </c>
      <c r="G21" s="310">
        <v>0</v>
      </c>
      <c r="H21" s="310">
        <v>0</v>
      </c>
      <c r="I21" s="310">
        <v>0</v>
      </c>
      <c r="J21" s="310">
        <v>0</v>
      </c>
      <c r="K21" s="310">
        <v>0</v>
      </c>
      <c r="L21" s="310">
        <v>0</v>
      </c>
      <c r="M21" s="311">
        <v>0</v>
      </c>
      <c r="N21" s="325"/>
    </row>
    <row r="22" spans="1:14" s="358" customFormat="1">
      <c r="A22" s="73" t="s">
        <v>384</v>
      </c>
      <c r="B22" s="264"/>
      <c r="C22" s="44">
        <v>253</v>
      </c>
      <c r="D22" s="267"/>
      <c r="E22" s="263">
        <v>0</v>
      </c>
      <c r="F22" s="357">
        <f>SUM(G22:M22)</f>
        <v>0</v>
      </c>
      <c r="G22" s="310">
        <v>0</v>
      </c>
      <c r="H22" s="310">
        <v>0</v>
      </c>
      <c r="I22" s="310">
        <v>0</v>
      </c>
      <c r="J22" s="310">
        <v>0</v>
      </c>
      <c r="K22" s="310">
        <v>0</v>
      </c>
      <c r="L22" s="310">
        <v>0</v>
      </c>
      <c r="M22" s="311">
        <v>0</v>
      </c>
      <c r="N22" s="327"/>
    </row>
    <row r="23" spans="1:14">
      <c r="A23" s="40" t="s">
        <v>294</v>
      </c>
      <c r="B23" s="265"/>
      <c r="C23" s="266"/>
      <c r="D23" s="267">
        <f>SUM(D18:D22)</f>
        <v>0</v>
      </c>
      <c r="E23" s="42">
        <f>SUM(E18:E22)</f>
        <v>0</v>
      </c>
      <c r="F23" s="43">
        <f>SUM(F18:F22)</f>
        <v>0</v>
      </c>
      <c r="G23" s="43">
        <f t="shared" ref="G23:M23" si="2">SUM(G18:G22)</f>
        <v>0</v>
      </c>
      <c r="H23" s="43">
        <f t="shared" si="2"/>
        <v>0</v>
      </c>
      <c r="I23" s="43">
        <f t="shared" si="2"/>
        <v>0</v>
      </c>
      <c r="J23" s="43">
        <f t="shared" si="2"/>
        <v>0</v>
      </c>
      <c r="K23" s="43">
        <f t="shared" si="2"/>
        <v>0</v>
      </c>
      <c r="L23" s="43">
        <f t="shared" si="2"/>
        <v>0</v>
      </c>
      <c r="M23" s="43">
        <f t="shared" si="2"/>
        <v>0</v>
      </c>
      <c r="N23" s="325"/>
    </row>
    <row r="24" spans="1:14" s="358" customFormat="1">
      <c r="A24" s="69" t="s">
        <v>356</v>
      </c>
      <c r="B24" s="377" t="s">
        <v>385</v>
      </c>
      <c r="C24" s="71"/>
      <c r="D24" s="70"/>
      <c r="E24" s="70"/>
      <c r="F24" s="72"/>
      <c r="G24" s="72"/>
      <c r="H24" s="72"/>
      <c r="I24" s="72"/>
      <c r="J24" s="72"/>
      <c r="K24" s="72"/>
      <c r="L24" s="72"/>
      <c r="M24" s="72"/>
      <c r="N24" s="376"/>
    </row>
    <row r="25" spans="1:14" ht="74.25">
      <c r="A25" s="264" t="s">
        <v>296</v>
      </c>
      <c r="B25" s="36"/>
      <c r="C25" s="37" t="s">
        <v>297</v>
      </c>
      <c r="D25" s="38">
        <v>0</v>
      </c>
      <c r="E25" s="263">
        <v>30</v>
      </c>
      <c r="F25" s="309">
        <f t="shared" ref="F25:F36" si="3">SUM(G25:M25)</f>
        <v>30</v>
      </c>
      <c r="G25" s="310">
        <v>0</v>
      </c>
      <c r="H25" s="310">
        <v>5</v>
      </c>
      <c r="I25" s="310">
        <v>0</v>
      </c>
      <c r="J25" s="310">
        <v>10</v>
      </c>
      <c r="K25" s="310">
        <v>0</v>
      </c>
      <c r="L25" s="310"/>
      <c r="M25" s="311">
        <v>15</v>
      </c>
      <c r="N25" s="327" t="s">
        <v>386</v>
      </c>
    </row>
    <row r="26" spans="1:14">
      <c r="A26" s="264" t="s">
        <v>298</v>
      </c>
      <c r="B26" s="36"/>
      <c r="C26" s="44" t="s">
        <v>299</v>
      </c>
      <c r="D26" s="45"/>
      <c r="E26" s="263"/>
      <c r="F26" s="309">
        <f t="shared" si="3"/>
        <v>0</v>
      </c>
      <c r="G26" s="310">
        <v>0</v>
      </c>
      <c r="H26" s="310">
        <v>0</v>
      </c>
      <c r="I26" s="310">
        <v>0</v>
      </c>
      <c r="J26" s="310">
        <v>0</v>
      </c>
      <c r="K26" s="310">
        <v>0</v>
      </c>
      <c r="L26" s="310">
        <v>0</v>
      </c>
      <c r="M26" s="311">
        <v>0</v>
      </c>
      <c r="N26" s="325"/>
    </row>
    <row r="27" spans="1:14">
      <c r="A27" s="264" t="s">
        <v>300</v>
      </c>
      <c r="B27" s="36"/>
      <c r="C27" s="44" t="s">
        <v>301</v>
      </c>
      <c r="D27" s="45"/>
      <c r="E27" s="263">
        <v>0</v>
      </c>
      <c r="F27" s="309">
        <f t="shared" si="3"/>
        <v>0</v>
      </c>
      <c r="G27" s="310">
        <v>0</v>
      </c>
      <c r="H27" s="310">
        <v>0</v>
      </c>
      <c r="I27" s="310">
        <v>0</v>
      </c>
      <c r="J27" s="310">
        <v>0</v>
      </c>
      <c r="K27" s="310">
        <v>0</v>
      </c>
      <c r="L27" s="310">
        <v>0</v>
      </c>
      <c r="M27" s="311">
        <v>0</v>
      </c>
      <c r="N27" s="325"/>
    </row>
    <row r="28" spans="1:14">
      <c r="A28" s="264" t="s">
        <v>302</v>
      </c>
      <c r="B28" s="36"/>
      <c r="C28" s="44" t="s">
        <v>303</v>
      </c>
      <c r="D28" s="45"/>
      <c r="E28" s="263">
        <v>0</v>
      </c>
      <c r="F28" s="309">
        <f t="shared" si="3"/>
        <v>0</v>
      </c>
      <c r="G28" s="310">
        <v>0</v>
      </c>
      <c r="H28" s="310">
        <v>0</v>
      </c>
      <c r="I28" s="310">
        <v>0</v>
      </c>
      <c r="J28" s="310">
        <v>0</v>
      </c>
      <c r="K28" s="310">
        <v>0</v>
      </c>
      <c r="L28" s="310">
        <v>0</v>
      </c>
      <c r="M28" s="311">
        <v>0</v>
      </c>
      <c r="N28" s="325"/>
    </row>
    <row r="29" spans="1:14">
      <c r="A29" s="264" t="s">
        <v>304</v>
      </c>
      <c r="B29" s="36"/>
      <c r="C29" s="44">
        <v>251</v>
      </c>
      <c r="D29" s="45"/>
      <c r="E29" s="263">
        <v>0</v>
      </c>
      <c r="F29" s="309">
        <f t="shared" si="3"/>
        <v>0</v>
      </c>
      <c r="G29" s="310">
        <v>0</v>
      </c>
      <c r="H29" s="310">
        <v>0</v>
      </c>
      <c r="I29" s="310">
        <v>0</v>
      </c>
      <c r="J29" s="310">
        <v>0</v>
      </c>
      <c r="K29" s="310">
        <v>0</v>
      </c>
      <c r="L29" s="310">
        <v>0</v>
      </c>
      <c r="M29" s="311">
        <v>0</v>
      </c>
      <c r="N29" s="325"/>
    </row>
    <row r="30" spans="1:14" ht="29.7">
      <c r="A30" s="264" t="s">
        <v>313</v>
      </c>
      <c r="B30" s="36"/>
      <c r="C30" s="44">
        <v>252</v>
      </c>
      <c r="D30" s="45"/>
      <c r="E30" s="263">
        <v>5</v>
      </c>
      <c r="F30" s="309">
        <f t="shared" si="3"/>
        <v>5</v>
      </c>
      <c r="G30" s="310">
        <v>0</v>
      </c>
      <c r="H30" s="310">
        <v>0</v>
      </c>
      <c r="I30" s="310">
        <v>0</v>
      </c>
      <c r="J30" s="310">
        <v>5</v>
      </c>
      <c r="K30" s="310">
        <v>0</v>
      </c>
      <c r="L30" s="310"/>
      <c r="M30" s="311">
        <v>0</v>
      </c>
      <c r="N30" s="325" t="s">
        <v>387</v>
      </c>
    </row>
    <row r="31" spans="1:14">
      <c r="A31" s="264" t="s">
        <v>314</v>
      </c>
      <c r="B31" s="36"/>
      <c r="C31" s="44">
        <v>252</v>
      </c>
      <c r="D31" s="45"/>
      <c r="E31" s="263">
        <v>0</v>
      </c>
      <c r="F31" s="309">
        <f t="shared" si="3"/>
        <v>0</v>
      </c>
      <c r="G31" s="310">
        <v>0</v>
      </c>
      <c r="H31" s="310">
        <v>0</v>
      </c>
      <c r="I31" s="310">
        <v>0</v>
      </c>
      <c r="J31" s="310">
        <v>0</v>
      </c>
      <c r="K31" s="310">
        <v>0</v>
      </c>
      <c r="L31" s="310">
        <v>0</v>
      </c>
      <c r="M31" s="311">
        <v>0</v>
      </c>
      <c r="N31" s="325"/>
    </row>
    <row r="32" spans="1:14">
      <c r="A32" s="264" t="s">
        <v>315</v>
      </c>
      <c r="B32" s="36"/>
      <c r="C32" s="44">
        <v>253</v>
      </c>
      <c r="D32" s="264"/>
      <c r="E32" s="263">
        <v>0</v>
      </c>
      <c r="F32" s="309">
        <f t="shared" si="3"/>
        <v>0</v>
      </c>
      <c r="G32" s="310">
        <v>0</v>
      </c>
      <c r="H32" s="310">
        <v>0</v>
      </c>
      <c r="I32" s="310">
        <v>0</v>
      </c>
      <c r="J32" s="310">
        <v>0</v>
      </c>
      <c r="K32" s="310">
        <v>0</v>
      </c>
      <c r="L32" s="310">
        <v>0</v>
      </c>
      <c r="M32" s="311">
        <v>0</v>
      </c>
      <c r="N32" s="325"/>
    </row>
    <row r="33" spans="1:14">
      <c r="A33" s="264" t="s">
        <v>316</v>
      </c>
      <c r="B33" s="36"/>
      <c r="C33" s="44">
        <v>255</v>
      </c>
      <c r="D33" s="264"/>
      <c r="E33" s="263">
        <v>0</v>
      </c>
      <c r="F33" s="309">
        <f t="shared" si="3"/>
        <v>0</v>
      </c>
      <c r="G33" s="310">
        <v>0</v>
      </c>
      <c r="H33" s="310">
        <v>0</v>
      </c>
      <c r="I33" s="310">
        <v>0</v>
      </c>
      <c r="J33" s="310">
        <v>0</v>
      </c>
      <c r="K33" s="310">
        <v>0</v>
      </c>
      <c r="L33" s="310">
        <v>0</v>
      </c>
      <c r="M33" s="311">
        <v>0</v>
      </c>
      <c r="N33" s="325"/>
    </row>
    <row r="34" spans="1:14">
      <c r="A34" s="264" t="s">
        <v>317</v>
      </c>
      <c r="B34" s="36"/>
      <c r="C34" s="44">
        <v>256</v>
      </c>
      <c r="D34" s="264"/>
      <c r="E34" s="263">
        <v>0</v>
      </c>
      <c r="F34" s="309">
        <f t="shared" si="3"/>
        <v>0</v>
      </c>
      <c r="G34" s="310">
        <v>0</v>
      </c>
      <c r="H34" s="310">
        <v>0</v>
      </c>
      <c r="I34" s="310">
        <v>0</v>
      </c>
      <c r="J34" s="310">
        <v>0</v>
      </c>
      <c r="K34" s="310">
        <v>0</v>
      </c>
      <c r="L34" s="310">
        <v>0</v>
      </c>
      <c r="M34" s="311">
        <v>0</v>
      </c>
      <c r="N34" s="325"/>
    </row>
    <row r="35" spans="1:14">
      <c r="A35" s="264" t="s">
        <v>318</v>
      </c>
      <c r="B35" s="36"/>
      <c r="C35" s="44">
        <v>257</v>
      </c>
      <c r="D35" s="264"/>
      <c r="E35" s="263">
        <v>0</v>
      </c>
      <c r="F35" s="309">
        <f t="shared" si="3"/>
        <v>0</v>
      </c>
      <c r="G35" s="310">
        <v>0</v>
      </c>
      <c r="H35" s="310">
        <v>0</v>
      </c>
      <c r="I35" s="310">
        <v>0</v>
      </c>
      <c r="J35" s="310">
        <v>0</v>
      </c>
      <c r="K35" s="310">
        <v>0</v>
      </c>
      <c r="L35" s="310">
        <v>0</v>
      </c>
      <c r="M35" s="311">
        <v>0</v>
      </c>
      <c r="N35" s="325"/>
    </row>
    <row r="36" spans="1:14">
      <c r="A36" s="264" t="s">
        <v>319</v>
      </c>
      <c r="B36" s="36"/>
      <c r="C36" s="44" t="s">
        <v>320</v>
      </c>
      <c r="D36" s="264"/>
      <c r="E36" s="263">
        <v>0</v>
      </c>
      <c r="F36" s="309">
        <f t="shared" si="3"/>
        <v>0</v>
      </c>
      <c r="G36" s="310">
        <v>0</v>
      </c>
      <c r="H36" s="310">
        <v>0</v>
      </c>
      <c r="I36" s="310">
        <v>0</v>
      </c>
      <c r="J36" s="310">
        <v>0</v>
      </c>
      <c r="K36" s="310">
        <v>0</v>
      </c>
      <c r="L36" s="310">
        <v>0</v>
      </c>
      <c r="M36" s="311">
        <v>0</v>
      </c>
      <c r="N36" s="325"/>
    </row>
    <row r="37" spans="1:14" s="381" customFormat="1">
      <c r="A37" s="632" t="s">
        <v>321</v>
      </c>
      <c r="B37" s="57"/>
      <c r="C37" s="664" t="s">
        <v>322</v>
      </c>
      <c r="D37" s="632"/>
      <c r="E37" s="263"/>
      <c r="F37" s="309"/>
      <c r="G37" s="310"/>
      <c r="H37" s="310"/>
      <c r="I37" s="310"/>
      <c r="J37" s="310"/>
      <c r="K37" s="310"/>
      <c r="L37" s="310"/>
      <c r="M37" s="311"/>
      <c r="N37" s="325"/>
    </row>
    <row r="38" spans="1:14" s="381" customFormat="1">
      <c r="A38" s="632" t="s">
        <v>388</v>
      </c>
      <c r="B38" s="57"/>
      <c r="C38" s="664"/>
      <c r="D38" s="632"/>
      <c r="E38" s="263">
        <v>0</v>
      </c>
      <c r="F38" s="309">
        <f t="shared" ref="F38" si="4">SUM(G38:M38)</f>
        <v>0</v>
      </c>
      <c r="G38" s="310">
        <v>0</v>
      </c>
      <c r="H38" s="310">
        <v>0</v>
      </c>
      <c r="I38" s="310">
        <v>0</v>
      </c>
      <c r="J38" s="310">
        <f>-15+15</f>
        <v>0</v>
      </c>
      <c r="K38" s="310">
        <v>0</v>
      </c>
      <c r="L38" s="310">
        <v>0</v>
      </c>
      <c r="M38" s="311">
        <v>0</v>
      </c>
      <c r="N38" s="371"/>
    </row>
    <row r="39" spans="1:14">
      <c r="A39" s="40" t="s">
        <v>326</v>
      </c>
      <c r="B39" s="265"/>
      <c r="C39" s="266"/>
      <c r="D39" s="267"/>
      <c r="E39" s="42">
        <f t="shared" ref="E39:M39" si="5">SUM(E25:E38)</f>
        <v>35</v>
      </c>
      <c r="F39" s="43">
        <f t="shared" si="5"/>
        <v>35</v>
      </c>
      <c r="G39" s="43">
        <f t="shared" si="5"/>
        <v>0</v>
      </c>
      <c r="H39" s="43">
        <f t="shared" si="5"/>
        <v>5</v>
      </c>
      <c r="I39" s="43">
        <f t="shared" si="5"/>
        <v>0</v>
      </c>
      <c r="J39" s="43">
        <f t="shared" si="5"/>
        <v>15</v>
      </c>
      <c r="K39" s="43">
        <f t="shared" si="5"/>
        <v>0</v>
      </c>
      <c r="L39" s="43">
        <f t="shared" si="5"/>
        <v>0</v>
      </c>
      <c r="M39" s="43">
        <f t="shared" si="5"/>
        <v>15</v>
      </c>
      <c r="N39" s="325"/>
    </row>
    <row r="40" spans="1:14" ht="29.7">
      <c r="A40" s="665" t="s">
        <v>327</v>
      </c>
      <c r="B40" s="51"/>
      <c r="C40" s="149"/>
      <c r="D40" s="267"/>
      <c r="E40" s="42"/>
      <c r="F40" s="309">
        <f t="shared" ref="F40" si="6">SUM(G40:M40)</f>
        <v>15</v>
      </c>
      <c r="G40" s="240"/>
      <c r="H40" s="240"/>
      <c r="I40" s="240"/>
      <c r="J40" s="240">
        <v>15</v>
      </c>
      <c r="K40" s="240"/>
      <c r="L40" s="240"/>
      <c r="M40" s="240"/>
      <c r="N40" s="371" t="s">
        <v>389</v>
      </c>
    </row>
    <row r="41" spans="1:14" ht="26">
      <c r="A41" s="378" t="s">
        <v>390</v>
      </c>
      <c r="B41" s="46"/>
      <c r="C41" s="47"/>
      <c r="D41" s="48">
        <f>D39+D23+D16</f>
        <v>0</v>
      </c>
      <c r="E41" s="42">
        <f>E39+E23+E16</f>
        <v>35</v>
      </c>
      <c r="F41" s="17">
        <f>F39+F23+F16-F40</f>
        <v>20</v>
      </c>
      <c r="G41" s="17">
        <f>G39+G23+G16-G40</f>
        <v>0</v>
      </c>
      <c r="H41" s="17">
        <f t="shared" ref="H41:M41" si="7">H39+H23+H16-H40</f>
        <v>5</v>
      </c>
      <c r="I41" s="17">
        <f t="shared" si="7"/>
        <v>0</v>
      </c>
      <c r="J41" s="17">
        <f t="shared" si="7"/>
        <v>0</v>
      </c>
      <c r="K41" s="17">
        <f t="shared" si="7"/>
        <v>0</v>
      </c>
      <c r="L41" s="17">
        <f t="shared" si="7"/>
        <v>0</v>
      </c>
      <c r="M41" s="17">
        <f t="shared" si="7"/>
        <v>15</v>
      </c>
      <c r="N41" s="352"/>
    </row>
    <row r="42" spans="1:14">
      <c r="A42" s="150" t="s">
        <v>391</v>
      </c>
      <c r="B42" s="381"/>
      <c r="C42" s="53"/>
      <c r="D42" s="54"/>
      <c r="E42" s="55">
        <f>+E41-C45</f>
        <v>20</v>
      </c>
      <c r="F42" s="55">
        <f>F41-B45</f>
        <v>5</v>
      </c>
      <c r="G42" s="381"/>
      <c r="H42" s="381"/>
      <c r="I42" s="381"/>
      <c r="J42" s="381"/>
      <c r="K42" s="381"/>
      <c r="L42" s="381"/>
      <c r="M42" s="381"/>
      <c r="N42" s="381"/>
    </row>
    <row r="43" spans="1:14" s="381" customFormat="1">
      <c r="A43" s="322"/>
      <c r="C43" s="29"/>
      <c r="D43" s="221"/>
      <c r="E43" s="220"/>
      <c r="F43" s="220"/>
    </row>
    <row r="44" spans="1:14">
      <c r="A44" s="56" t="s">
        <v>392</v>
      </c>
      <c r="B44" s="687" t="s">
        <v>393</v>
      </c>
      <c r="C44" s="381" t="s">
        <v>359</v>
      </c>
      <c r="D44" s="381"/>
      <c r="E44" s="381"/>
      <c r="F44" s="381"/>
      <c r="G44" s="381"/>
      <c r="H44" s="381"/>
      <c r="I44" s="381"/>
      <c r="J44" s="381"/>
      <c r="K44" s="381"/>
      <c r="L44" s="381"/>
      <c r="M44" s="381"/>
      <c r="N44" s="381"/>
    </row>
    <row r="45" spans="1:14" ht="15.05" customHeight="1">
      <c r="A45" s="57" t="s">
        <v>394</v>
      </c>
      <c r="B45" s="58">
        <v>15</v>
      </c>
      <c r="C45" s="58">
        <v>15</v>
      </c>
      <c r="D45" s="381"/>
      <c r="E45" s="769" t="s">
        <v>395</v>
      </c>
      <c r="F45" s="769"/>
      <c r="G45" s="769"/>
      <c r="H45" s="769"/>
      <c r="I45" s="769"/>
      <c r="J45" s="769"/>
      <c r="K45" s="769"/>
      <c r="L45" s="769"/>
      <c r="M45" s="769"/>
      <c r="N45" s="381"/>
    </row>
    <row r="46" spans="1:14">
      <c r="A46" s="264" t="s">
        <v>396</v>
      </c>
      <c r="B46" s="59">
        <f>M41</f>
        <v>15</v>
      </c>
      <c r="C46" s="59">
        <v>15</v>
      </c>
      <c r="D46" s="381"/>
      <c r="E46" s="769"/>
      <c r="F46" s="769"/>
      <c r="G46" s="769"/>
      <c r="H46" s="769"/>
      <c r="I46" s="769"/>
      <c r="J46" s="769"/>
      <c r="K46" s="769"/>
      <c r="L46" s="769"/>
      <c r="M46" s="769"/>
      <c r="N46" s="381"/>
    </row>
    <row r="47" spans="1:14">
      <c r="A47" s="60" t="s">
        <v>397</v>
      </c>
      <c r="B47" s="61">
        <f>B45-B46</f>
        <v>0</v>
      </c>
      <c r="C47" s="61">
        <f>C45-C46</f>
        <v>0</v>
      </c>
      <c r="D47" s="381"/>
      <c r="E47" s="769"/>
      <c r="F47" s="769"/>
      <c r="G47" s="769"/>
      <c r="H47" s="769"/>
      <c r="I47" s="769"/>
      <c r="J47" s="769"/>
      <c r="K47" s="769"/>
      <c r="L47" s="769"/>
      <c r="M47" s="769"/>
      <c r="N47" s="381"/>
    </row>
    <row r="48" spans="1:14" s="31" customFormat="1" ht="12.8" customHeight="1">
      <c r="C48" s="32"/>
      <c r="E48" s="769"/>
      <c r="F48" s="769"/>
      <c r="G48" s="769"/>
      <c r="H48" s="769"/>
      <c r="I48" s="769"/>
      <c r="J48" s="769"/>
      <c r="K48" s="769"/>
      <c r="L48" s="769"/>
      <c r="M48" s="769"/>
    </row>
    <row r="49" spans="1:14" s="31" customFormat="1" ht="12.65">
      <c r="C49" s="32"/>
      <c r="E49" s="769"/>
      <c r="F49" s="769"/>
      <c r="G49" s="769"/>
      <c r="H49" s="769"/>
      <c r="I49" s="769"/>
      <c r="J49" s="769"/>
      <c r="K49" s="769"/>
      <c r="L49" s="769"/>
      <c r="M49" s="769"/>
    </row>
    <row r="50" spans="1:14" s="381" customFormat="1" ht="15.6" thickBot="1">
      <c r="A50" s="31"/>
      <c r="B50" s="31"/>
      <c r="C50" s="32"/>
      <c r="D50" s="31"/>
      <c r="E50" s="31"/>
      <c r="F50" s="31"/>
      <c r="G50" s="31"/>
      <c r="H50" s="31"/>
      <c r="I50" s="31"/>
      <c r="J50" s="31"/>
      <c r="K50" s="31"/>
      <c r="L50" s="31"/>
      <c r="M50" s="31"/>
      <c r="N50" s="562"/>
    </row>
    <row r="51" spans="1:14" s="381" customFormat="1" ht="15.6">
      <c r="A51" s="764" t="s">
        <v>330</v>
      </c>
      <c r="B51" s="765"/>
      <c r="C51" s="765"/>
      <c r="D51" s="765"/>
      <c r="E51" s="765"/>
      <c r="F51" s="765"/>
      <c r="G51" s="581"/>
      <c r="H51" s="31"/>
      <c r="I51" s="31"/>
      <c r="J51" s="31"/>
      <c r="K51" s="31"/>
      <c r="L51" s="31"/>
      <c r="M51" s="31"/>
      <c r="N51" s="562"/>
    </row>
    <row r="52" spans="1:14" s="381" customFormat="1" ht="15.6">
      <c r="A52" s="738"/>
      <c r="B52" s="770"/>
      <c r="C52" s="770"/>
      <c r="D52" s="770"/>
      <c r="E52" s="770"/>
      <c r="F52" s="770"/>
      <c r="G52" s="582"/>
      <c r="H52" s="31"/>
      <c r="I52" s="31"/>
      <c r="J52" s="31"/>
      <c r="K52" s="31"/>
      <c r="L52" s="31"/>
      <c r="M52" s="31"/>
      <c r="N52" s="562"/>
    </row>
    <row r="53" spans="1:14" s="381" customFormat="1">
      <c r="A53" s="740" t="s">
        <v>331</v>
      </c>
      <c r="B53" s="741"/>
      <c r="C53" s="583"/>
      <c r="D53" s="583"/>
      <c r="E53" s="583"/>
      <c r="F53" s="583"/>
      <c r="G53" s="582"/>
      <c r="H53" s="31"/>
      <c r="I53" s="31"/>
      <c r="J53" s="31"/>
      <c r="K53" s="31"/>
      <c r="L53" s="31"/>
      <c r="M53" s="31"/>
      <c r="N53" s="562"/>
    </row>
    <row r="54" spans="1:14" s="381" customFormat="1">
      <c r="A54" s="584" t="s">
        <v>361</v>
      </c>
      <c r="B54" s="585">
        <f>+E41</f>
        <v>35</v>
      </c>
      <c r="C54" s="586"/>
      <c r="D54" s="587"/>
      <c r="E54" s="587"/>
      <c r="F54" s="587"/>
      <c r="G54" s="582"/>
      <c r="H54" s="31"/>
      <c r="I54" s="31"/>
      <c r="J54" s="31"/>
      <c r="K54" s="31"/>
      <c r="L54" s="31"/>
      <c r="M54" s="31"/>
      <c r="N54" s="562"/>
    </row>
    <row r="55" spans="1:14" s="381" customFormat="1">
      <c r="A55" s="588" t="s">
        <v>362</v>
      </c>
      <c r="B55" s="589">
        <f>+F41</f>
        <v>20</v>
      </c>
      <c r="C55" s="586"/>
      <c r="D55" s="587"/>
      <c r="E55" s="587"/>
      <c r="F55" s="587"/>
      <c r="G55" s="582"/>
      <c r="H55" s="31"/>
      <c r="I55" s="31"/>
      <c r="J55" s="31"/>
      <c r="K55" s="31"/>
      <c r="L55" s="31"/>
      <c r="M55" s="31"/>
      <c r="N55" s="562"/>
    </row>
    <row r="56" spans="1:14" s="381" customFormat="1">
      <c r="A56" s="590" t="s">
        <v>334</v>
      </c>
      <c r="B56" s="591">
        <f>B55-B54</f>
        <v>-15</v>
      </c>
      <c r="C56" s="586"/>
      <c r="D56" s="587"/>
      <c r="E56" s="587"/>
      <c r="F56" s="587"/>
      <c r="G56" s="582"/>
      <c r="H56" s="31"/>
      <c r="I56" s="31"/>
      <c r="J56" s="31"/>
      <c r="K56" s="31"/>
      <c r="L56" s="31"/>
      <c r="M56" s="31"/>
      <c r="N56" s="562"/>
    </row>
    <row r="57" spans="1:14" s="381" customFormat="1">
      <c r="A57" s="590" t="s">
        <v>335</v>
      </c>
      <c r="B57" s="592">
        <f>B56/B54</f>
        <v>-0.42857142857142855</v>
      </c>
      <c r="C57" s="586"/>
      <c r="D57" s="587"/>
      <c r="E57" s="587"/>
      <c r="F57" s="587"/>
      <c r="G57" s="582"/>
      <c r="H57" s="31"/>
      <c r="I57" s="31"/>
      <c r="J57" s="31"/>
      <c r="K57" s="31"/>
      <c r="L57" s="31"/>
      <c r="M57" s="31"/>
      <c r="N57" s="562"/>
    </row>
    <row r="58" spans="1:14" s="381" customFormat="1">
      <c r="A58" s="593"/>
      <c r="B58" s="587"/>
      <c r="C58" s="686"/>
      <c r="D58" s="587"/>
      <c r="E58" s="587"/>
      <c r="F58" s="587"/>
      <c r="G58" s="582"/>
      <c r="H58" s="31"/>
      <c r="I58" s="31"/>
      <c r="J58" s="31"/>
      <c r="K58" s="31"/>
      <c r="L58" s="31"/>
      <c r="M58" s="31"/>
      <c r="N58" s="562"/>
    </row>
    <row r="59" spans="1:14" s="381" customFormat="1">
      <c r="A59" s="731" t="s">
        <v>336</v>
      </c>
      <c r="B59" s="732"/>
      <c r="C59" s="732"/>
      <c r="D59" s="732"/>
      <c r="E59" s="732"/>
      <c r="F59" s="732"/>
      <c r="G59" s="582"/>
      <c r="H59" s="31"/>
      <c r="I59" s="31"/>
      <c r="J59" s="666"/>
      <c r="K59" s="31"/>
      <c r="L59" s="31"/>
      <c r="M59" s="31"/>
      <c r="N59" s="562"/>
    </row>
    <row r="60" spans="1:14" s="381" customFormat="1">
      <c r="A60" s="742" t="s">
        <v>398</v>
      </c>
      <c r="B60" s="743"/>
      <c r="C60" s="743"/>
      <c r="D60" s="743"/>
      <c r="E60" s="743"/>
      <c r="F60" s="744"/>
      <c r="G60" s="582"/>
      <c r="H60" s="31"/>
      <c r="I60" s="31"/>
      <c r="J60" s="31"/>
      <c r="K60" s="31"/>
      <c r="L60" s="31"/>
      <c r="M60" s="31"/>
      <c r="N60" s="562"/>
    </row>
    <row r="61" spans="1:14" s="381" customFormat="1">
      <c r="A61" s="594"/>
      <c r="B61" s="595"/>
      <c r="C61" s="595"/>
      <c r="D61" s="595"/>
      <c r="E61" s="595"/>
      <c r="F61" s="595"/>
      <c r="G61" s="582"/>
      <c r="H61" s="31"/>
      <c r="I61" s="31"/>
      <c r="J61" s="31"/>
      <c r="K61" s="31"/>
      <c r="L61" s="31"/>
      <c r="M61" s="31"/>
      <c r="N61" s="562"/>
    </row>
    <row r="62" spans="1:14" s="381" customFormat="1">
      <c r="A62" s="596" t="s">
        <v>337</v>
      </c>
      <c r="B62" s="587"/>
      <c r="C62" s="686"/>
      <c r="D62" s="587"/>
      <c r="E62" s="587"/>
      <c r="F62" s="587"/>
      <c r="G62" s="582"/>
      <c r="H62" s="31"/>
      <c r="I62" s="31"/>
      <c r="J62" s="31"/>
      <c r="K62" s="31"/>
      <c r="L62" s="31"/>
      <c r="M62" s="31"/>
      <c r="N62" s="562"/>
    </row>
    <row r="63" spans="1:14" s="381" customFormat="1">
      <c r="A63" s="735" t="s">
        <v>399</v>
      </c>
      <c r="B63" s="736"/>
      <c r="C63" s="736"/>
      <c r="D63" s="736"/>
      <c r="E63" s="736"/>
      <c r="F63" s="737"/>
      <c r="G63" s="582"/>
      <c r="H63" s="31"/>
      <c r="I63" s="31"/>
      <c r="J63" s="31"/>
      <c r="K63" s="31"/>
      <c r="L63" s="31"/>
      <c r="M63" s="31"/>
      <c r="N63" s="562"/>
    </row>
    <row r="64" spans="1:14" s="381" customFormat="1">
      <c r="A64" s="593"/>
      <c r="B64" s="587"/>
      <c r="C64" s="686"/>
      <c r="D64" s="587"/>
      <c r="E64" s="587"/>
      <c r="F64" s="587"/>
      <c r="G64" s="582"/>
      <c r="H64" s="31"/>
      <c r="I64" s="31"/>
      <c r="J64" s="31"/>
      <c r="K64" s="31"/>
      <c r="L64" s="31"/>
      <c r="M64" s="31"/>
      <c r="N64" s="562"/>
    </row>
    <row r="65" spans="1:14" s="381" customFormat="1">
      <c r="A65" s="731" t="s">
        <v>365</v>
      </c>
      <c r="B65" s="732"/>
      <c r="C65" s="732"/>
      <c r="D65" s="732"/>
      <c r="E65" s="732"/>
      <c r="F65" s="732"/>
      <c r="G65" s="582"/>
      <c r="H65" s="31"/>
      <c r="I65" s="31"/>
      <c r="J65" s="31"/>
      <c r="K65" s="31"/>
      <c r="L65" s="31"/>
      <c r="M65" s="31"/>
      <c r="N65" s="562"/>
    </row>
    <row r="66" spans="1:14" s="381" customFormat="1">
      <c r="A66" s="733" t="s">
        <v>339</v>
      </c>
      <c r="B66" s="734"/>
      <c r="C66" s="734"/>
      <c r="D66" s="734"/>
      <c r="E66" s="734"/>
      <c r="F66" s="734"/>
      <c r="G66" s="582"/>
      <c r="H66" s="31"/>
      <c r="I66" s="31"/>
      <c r="J66" s="31"/>
      <c r="K66" s="31"/>
      <c r="L66" s="31"/>
      <c r="M66" s="31"/>
      <c r="N66" s="562"/>
    </row>
    <row r="67" spans="1:14" s="381" customFormat="1">
      <c r="A67" s="735" t="s">
        <v>400</v>
      </c>
      <c r="B67" s="736"/>
      <c r="C67" s="736"/>
      <c r="D67" s="736"/>
      <c r="E67" s="736"/>
      <c r="F67" s="737"/>
      <c r="G67" s="582"/>
      <c r="H67" s="31"/>
      <c r="I67" s="31"/>
      <c r="J67" s="31"/>
      <c r="K67" s="31"/>
      <c r="L67" s="31"/>
      <c r="M67" s="31"/>
      <c r="N67" s="562"/>
    </row>
    <row r="68" spans="1:14" s="381" customFormat="1">
      <c r="A68" s="596"/>
      <c r="B68" s="587"/>
      <c r="C68" s="686"/>
      <c r="D68" s="587"/>
      <c r="E68" s="587"/>
      <c r="F68" s="587"/>
      <c r="G68" s="582"/>
      <c r="H68" s="31"/>
      <c r="I68" s="31"/>
      <c r="J68" s="31"/>
      <c r="K68" s="31"/>
      <c r="L68" s="31"/>
      <c r="M68" s="31"/>
      <c r="N68" s="562"/>
    </row>
    <row r="69" spans="1:14" s="381" customFormat="1">
      <c r="A69" s="731" t="s">
        <v>340</v>
      </c>
      <c r="B69" s="732"/>
      <c r="C69" s="732"/>
      <c r="D69" s="732"/>
      <c r="E69" s="732"/>
      <c r="F69" s="587"/>
      <c r="G69" s="582"/>
      <c r="H69" s="31"/>
      <c r="I69" s="31"/>
      <c r="J69" s="31"/>
      <c r="K69" s="31"/>
      <c r="L69" s="31"/>
      <c r="M69" s="31"/>
      <c r="N69" s="562"/>
    </row>
    <row r="70" spans="1:14" s="381" customFormat="1">
      <c r="A70" s="728"/>
      <c r="B70" s="729"/>
      <c r="C70" s="729"/>
      <c r="D70" s="729"/>
      <c r="E70" s="729"/>
      <c r="F70" s="730"/>
      <c r="G70" s="582"/>
      <c r="H70" s="31"/>
      <c r="I70" s="31"/>
      <c r="J70" s="31"/>
      <c r="K70" s="31"/>
      <c r="L70" s="31"/>
      <c r="M70" s="31"/>
      <c r="N70" s="562"/>
    </row>
    <row r="71" spans="1:14" s="381" customFormat="1">
      <c r="A71" s="593"/>
      <c r="B71" s="587"/>
      <c r="C71" s="686"/>
      <c r="D71" s="587"/>
      <c r="E71" s="587"/>
      <c r="F71" s="587"/>
      <c r="G71" s="582"/>
      <c r="H71" s="31"/>
      <c r="I71" s="31"/>
      <c r="J71" s="31"/>
      <c r="K71" s="31"/>
      <c r="L71" s="31"/>
      <c r="M71" s="31"/>
      <c r="N71" s="562"/>
    </row>
    <row r="72" spans="1:14" s="381" customFormat="1">
      <c r="A72" s="596" t="s">
        <v>341</v>
      </c>
      <c r="B72" s="587"/>
      <c r="C72" s="686"/>
      <c r="D72" s="587"/>
      <c r="E72" s="587"/>
      <c r="F72" s="587"/>
      <c r="G72" s="582"/>
      <c r="H72" s="31"/>
      <c r="I72" s="31"/>
      <c r="J72" s="31"/>
      <c r="K72" s="31"/>
      <c r="L72" s="31"/>
      <c r="M72" s="31"/>
      <c r="N72" s="562"/>
    </row>
    <row r="73" spans="1:14" s="381" customFormat="1">
      <c r="A73" s="597" t="s">
        <v>342</v>
      </c>
      <c r="B73" s="587"/>
      <c r="C73" s="686"/>
      <c r="D73" s="587"/>
      <c r="E73" s="587"/>
      <c r="F73" s="587"/>
      <c r="G73" s="582"/>
      <c r="H73" s="31"/>
      <c r="I73" s="31"/>
      <c r="J73" s="31"/>
      <c r="K73" s="31"/>
      <c r="L73" s="31"/>
      <c r="M73" s="31"/>
      <c r="N73" s="562"/>
    </row>
    <row r="74" spans="1:14" s="381" customFormat="1" ht="26.2" customHeight="1">
      <c r="A74" s="719" t="s">
        <v>368</v>
      </c>
      <c r="B74" s="720"/>
      <c r="C74" s="720"/>
      <c r="D74" s="720"/>
      <c r="E74" s="720"/>
      <c r="F74" s="720"/>
      <c r="G74" s="582"/>
      <c r="H74" s="31"/>
      <c r="I74" s="31"/>
      <c r="J74" s="31"/>
      <c r="K74" s="31"/>
      <c r="L74" s="31"/>
      <c r="M74" s="31"/>
      <c r="N74" s="562"/>
    </row>
    <row r="75" spans="1:14" s="381" customFormat="1" ht="26.2" customHeight="1">
      <c r="A75" s="742" t="s">
        <v>401</v>
      </c>
      <c r="B75" s="743"/>
      <c r="C75" s="743"/>
      <c r="D75" s="743"/>
      <c r="E75" s="743"/>
      <c r="F75" s="744"/>
      <c r="G75" s="582"/>
      <c r="H75" s="31"/>
      <c r="I75" s="31"/>
      <c r="J75" s="31"/>
      <c r="K75" s="31"/>
      <c r="L75" s="31"/>
      <c r="M75" s="31"/>
      <c r="N75" s="562"/>
    </row>
    <row r="76" spans="1:14" s="381" customFormat="1">
      <c r="A76" s="724"/>
      <c r="B76" s="725"/>
      <c r="C76" s="725"/>
      <c r="D76" s="725"/>
      <c r="E76" s="725"/>
      <c r="F76" s="725"/>
      <c r="G76" s="582"/>
      <c r="H76" s="31"/>
      <c r="I76" s="31"/>
      <c r="J76" s="31"/>
      <c r="K76" s="31"/>
      <c r="L76" s="31"/>
      <c r="M76" s="31"/>
      <c r="N76" s="562"/>
    </row>
    <row r="77" spans="1:14" s="381" customFormat="1">
      <c r="A77" s="597" t="s">
        <v>344</v>
      </c>
      <c r="B77" s="587"/>
      <c r="C77" s="686"/>
      <c r="D77" s="587"/>
      <c r="E77" s="587"/>
      <c r="F77" s="587"/>
      <c r="G77" s="582"/>
      <c r="H77" s="31"/>
      <c r="I77" s="31"/>
      <c r="J77" s="31"/>
      <c r="K77" s="31"/>
      <c r="L77" s="31"/>
      <c r="M77" s="31"/>
      <c r="N77" s="562"/>
    </row>
    <row r="78" spans="1:14" s="381" customFormat="1" ht="28.95" customHeight="1">
      <c r="A78" s="726" t="s">
        <v>345</v>
      </c>
      <c r="B78" s="727"/>
      <c r="C78" s="727"/>
      <c r="D78" s="727"/>
      <c r="E78" s="727"/>
      <c r="F78" s="727"/>
      <c r="G78" s="582"/>
      <c r="H78" s="31"/>
      <c r="I78" s="31"/>
      <c r="J78" s="31"/>
      <c r="K78" s="31"/>
      <c r="L78" s="31"/>
      <c r="M78" s="31"/>
      <c r="N78" s="562"/>
    </row>
    <row r="79" spans="1:14" s="381" customFormat="1">
      <c r="A79" s="728"/>
      <c r="B79" s="729"/>
      <c r="C79" s="729"/>
      <c r="D79" s="729"/>
      <c r="E79" s="729"/>
      <c r="F79" s="730"/>
      <c r="G79" s="582"/>
      <c r="H79" s="31"/>
      <c r="I79" s="31"/>
      <c r="J79" s="31"/>
      <c r="K79" s="31"/>
      <c r="L79" s="31"/>
      <c r="M79" s="31"/>
      <c r="N79" s="562"/>
    </row>
    <row r="80" spans="1:14" s="381" customFormat="1" ht="15.6" thickBot="1">
      <c r="A80" s="598"/>
      <c r="B80" s="599"/>
      <c r="C80" s="600"/>
      <c r="D80" s="599"/>
      <c r="E80" s="599"/>
      <c r="F80" s="599"/>
      <c r="G80" s="601"/>
      <c r="H80" s="31"/>
      <c r="I80" s="31"/>
      <c r="J80" s="31"/>
      <c r="K80" s="31"/>
      <c r="L80" s="31"/>
      <c r="M80" s="31"/>
      <c r="N80" s="562"/>
    </row>
    <row r="81" spans="1:14" s="381" customFormat="1">
      <c r="A81" s="31"/>
      <c r="B81" s="31"/>
      <c r="C81" s="32"/>
      <c r="D81" s="31"/>
      <c r="E81" s="31"/>
      <c r="F81" s="31"/>
      <c r="G81" s="31"/>
      <c r="H81" s="31"/>
      <c r="I81" s="31"/>
      <c r="J81" s="31"/>
      <c r="K81" s="31"/>
      <c r="L81" s="31"/>
      <c r="M81" s="31"/>
      <c r="N81" s="562"/>
    </row>
    <row r="82" spans="1:14" s="31" customFormat="1" ht="12.65">
      <c r="C82" s="32"/>
    </row>
    <row r="83" spans="1:14" s="31" customFormat="1" ht="12.65">
      <c r="C83" s="32"/>
    </row>
    <row r="84" spans="1:14" s="31" customFormat="1" ht="12.65">
      <c r="C84" s="32"/>
    </row>
    <row r="85" spans="1:14" s="31" customFormat="1" ht="12.65">
      <c r="C85" s="32"/>
    </row>
    <row r="86" spans="1:14" s="31" customFormat="1" ht="12.65">
      <c r="C86" s="32"/>
    </row>
    <row r="87" spans="1:14" s="31" customFormat="1" ht="12.65">
      <c r="C87" s="32"/>
    </row>
    <row r="88" spans="1:14" s="31" customFormat="1" ht="12.65">
      <c r="C88" s="32"/>
    </row>
    <row r="89" spans="1:14" s="31" customFormat="1" ht="12.65">
      <c r="C89" s="32"/>
    </row>
    <row r="90" spans="1:14" s="31" customFormat="1" ht="12.65">
      <c r="C90" s="32"/>
    </row>
    <row r="91" spans="1:14" s="31" customFormat="1" ht="12.65">
      <c r="C91" s="32"/>
    </row>
    <row r="92" spans="1:14" s="31" customFormat="1" ht="12.65">
      <c r="C92" s="32"/>
    </row>
    <row r="93" spans="1:14" s="31" customFormat="1" ht="12.65">
      <c r="C93" s="32"/>
    </row>
    <row r="94" spans="1:14" s="31" customFormat="1" ht="12.65">
      <c r="C94" s="32"/>
    </row>
    <row r="95" spans="1:14" s="31" customFormat="1" ht="12.65">
      <c r="C95" s="32"/>
    </row>
    <row r="96" spans="1:14" s="31" customFormat="1" ht="12.65">
      <c r="C96" s="32"/>
    </row>
    <row r="97" spans="3:3" s="31" customFormat="1" ht="12.65">
      <c r="C97" s="32"/>
    </row>
    <row r="98" spans="3:3" s="31" customFormat="1" ht="12.65">
      <c r="C98" s="32"/>
    </row>
    <row r="99" spans="3:3" s="31" customFormat="1" ht="12.65">
      <c r="C99" s="32"/>
    </row>
    <row r="100" spans="3:3" s="31" customFormat="1" ht="12.65">
      <c r="C100" s="32"/>
    </row>
    <row r="101" spans="3:3" s="31" customFormat="1" ht="12.65">
      <c r="C101" s="32"/>
    </row>
    <row r="102" spans="3:3" s="31" customFormat="1" ht="12.65">
      <c r="C102" s="32"/>
    </row>
    <row r="103" spans="3:3" s="31" customFormat="1" ht="12.65">
      <c r="C103" s="32"/>
    </row>
    <row r="104" spans="3:3" s="31" customFormat="1" ht="12.65">
      <c r="C104" s="32"/>
    </row>
    <row r="105" spans="3:3" s="31" customFormat="1" ht="12.65">
      <c r="C105" s="32"/>
    </row>
    <row r="106" spans="3:3" s="31" customFormat="1" ht="12.65">
      <c r="C106" s="32"/>
    </row>
    <row r="107" spans="3:3" s="31" customFormat="1" ht="12.65">
      <c r="C107" s="32"/>
    </row>
    <row r="108" spans="3:3" s="31" customFormat="1" ht="12.65">
      <c r="C108" s="32"/>
    </row>
    <row r="109" spans="3:3" s="31" customFormat="1" ht="12.65">
      <c r="C109" s="32"/>
    </row>
    <row r="110" spans="3:3" s="31" customFormat="1" ht="12.65">
      <c r="C110" s="32"/>
    </row>
    <row r="111" spans="3:3" s="31" customFormat="1" ht="12.65">
      <c r="C111" s="32"/>
    </row>
    <row r="112" spans="3:3" s="31" customFormat="1" ht="12.65">
      <c r="C112" s="32"/>
    </row>
    <row r="113" spans="3:3" s="31" customFormat="1" ht="12.65">
      <c r="C113" s="32"/>
    </row>
    <row r="114" spans="3:3" s="31" customFormat="1" ht="12.65">
      <c r="C114" s="32"/>
    </row>
    <row r="115" spans="3:3" s="31" customFormat="1" ht="12.65">
      <c r="C115" s="32"/>
    </row>
    <row r="116" spans="3:3" s="31" customFormat="1" ht="12.65">
      <c r="C116" s="32"/>
    </row>
    <row r="117" spans="3:3" s="31" customFormat="1" ht="12.65">
      <c r="C117" s="32"/>
    </row>
    <row r="118" spans="3:3" s="31" customFormat="1" ht="12.65">
      <c r="C118" s="32"/>
    </row>
    <row r="119" spans="3:3" s="31" customFormat="1" ht="12.65">
      <c r="C119" s="32"/>
    </row>
    <row r="120" spans="3:3" s="31" customFormat="1" ht="12.65">
      <c r="C120" s="32"/>
    </row>
    <row r="121" spans="3:3" s="31" customFormat="1" ht="12.65">
      <c r="C121" s="32"/>
    </row>
    <row r="122" spans="3:3" s="31" customFormat="1" ht="12.65">
      <c r="C122" s="32"/>
    </row>
    <row r="123" spans="3:3" s="31" customFormat="1" ht="12.65">
      <c r="C123" s="32"/>
    </row>
    <row r="124" spans="3:3" s="31" customFormat="1" ht="12.65">
      <c r="C124" s="32"/>
    </row>
    <row r="125" spans="3:3" s="31" customFormat="1" ht="12.65">
      <c r="C125" s="32"/>
    </row>
    <row r="126" spans="3:3" s="31" customFormat="1" ht="12.65">
      <c r="C126" s="32"/>
    </row>
    <row r="127" spans="3:3" s="31" customFormat="1" ht="12.65">
      <c r="C127" s="32"/>
    </row>
    <row r="128" spans="3:3" s="31" customFormat="1" ht="12.65">
      <c r="C128" s="32"/>
    </row>
    <row r="129" spans="3:3" s="31" customFormat="1" ht="12.65">
      <c r="C129" s="32"/>
    </row>
    <row r="130" spans="3:3" s="31" customFormat="1" ht="12.65">
      <c r="C130" s="32"/>
    </row>
    <row r="131" spans="3:3" s="31" customFormat="1" ht="12.65">
      <c r="C131" s="32"/>
    </row>
    <row r="132" spans="3:3" s="31" customFormat="1" ht="12.65">
      <c r="C132" s="32"/>
    </row>
    <row r="133" spans="3:3" s="31" customFormat="1" ht="12.65">
      <c r="C133" s="32"/>
    </row>
    <row r="134" spans="3:3" s="31" customFormat="1" ht="12.65">
      <c r="C134" s="32"/>
    </row>
    <row r="135" spans="3:3" s="31" customFormat="1" ht="12.65">
      <c r="C135" s="32"/>
    </row>
    <row r="136" spans="3:3" s="31" customFormat="1" ht="12.65">
      <c r="C136" s="32"/>
    </row>
    <row r="137" spans="3:3" s="31" customFormat="1" ht="12.65">
      <c r="C137" s="32"/>
    </row>
    <row r="138" spans="3:3" s="31" customFormat="1" ht="12.65">
      <c r="C138" s="32"/>
    </row>
    <row r="139" spans="3:3" s="31" customFormat="1" ht="12.65">
      <c r="C139" s="32"/>
    </row>
    <row r="140" spans="3:3" s="31" customFormat="1" ht="12.65">
      <c r="C140" s="32"/>
    </row>
    <row r="141" spans="3:3" s="31" customFormat="1" ht="12.65">
      <c r="C141" s="32"/>
    </row>
    <row r="142" spans="3:3" s="31" customFormat="1" ht="12.65">
      <c r="C142" s="32"/>
    </row>
    <row r="143" spans="3:3" s="31" customFormat="1" ht="12.65">
      <c r="C143" s="32"/>
    </row>
    <row r="144" spans="3:3" s="31" customFormat="1" ht="12.65">
      <c r="C144" s="32"/>
    </row>
    <row r="145" spans="3:3" s="31" customFormat="1" ht="12.65">
      <c r="C145" s="32"/>
    </row>
    <row r="146" spans="3:3" s="31" customFormat="1" ht="12.65">
      <c r="C146" s="32"/>
    </row>
    <row r="147" spans="3:3" s="31" customFormat="1" ht="12.65">
      <c r="C147" s="32"/>
    </row>
    <row r="148" spans="3:3" s="31" customFormat="1" ht="12.65">
      <c r="C148" s="32"/>
    </row>
    <row r="149" spans="3:3" s="31" customFormat="1" ht="12.65">
      <c r="C149" s="32"/>
    </row>
    <row r="150" spans="3:3" s="31" customFormat="1" ht="12.65">
      <c r="C150" s="32"/>
    </row>
    <row r="151" spans="3:3" s="31" customFormat="1" ht="12.65">
      <c r="C151" s="32"/>
    </row>
    <row r="152" spans="3:3" s="31" customFormat="1" ht="12.65">
      <c r="C152" s="32"/>
    </row>
    <row r="153" spans="3:3" s="31" customFormat="1" ht="12.65">
      <c r="C153" s="32"/>
    </row>
    <row r="154" spans="3:3" s="31" customFormat="1" ht="12.65">
      <c r="C154" s="32"/>
    </row>
    <row r="155" spans="3:3" s="31" customFormat="1" ht="12.65">
      <c r="C155" s="32"/>
    </row>
    <row r="156" spans="3:3" s="31" customFormat="1" ht="12.65">
      <c r="C156" s="32"/>
    </row>
    <row r="157" spans="3:3" s="31" customFormat="1" ht="12.65">
      <c r="C157" s="32"/>
    </row>
    <row r="158" spans="3:3" s="31" customFormat="1" ht="12.65">
      <c r="C158" s="32"/>
    </row>
    <row r="159" spans="3:3" s="31" customFormat="1" ht="12.65">
      <c r="C159" s="32"/>
    </row>
    <row r="160" spans="3:3" s="31" customFormat="1" ht="12.65">
      <c r="C160" s="32"/>
    </row>
    <row r="161" spans="3:3" s="31" customFormat="1" ht="12.65">
      <c r="C161" s="32"/>
    </row>
    <row r="162" spans="3:3" s="31" customFormat="1" ht="12.65">
      <c r="C162" s="32"/>
    </row>
    <row r="163" spans="3:3" s="31" customFormat="1" ht="12.65">
      <c r="C163" s="32"/>
    </row>
    <row r="164" spans="3:3" s="31" customFormat="1" ht="12.65">
      <c r="C164" s="32"/>
    </row>
    <row r="165" spans="3:3" s="31" customFormat="1" ht="12.65">
      <c r="C165" s="32"/>
    </row>
    <row r="166" spans="3:3" s="31" customFormat="1" ht="12.65">
      <c r="C166" s="32"/>
    </row>
    <row r="167" spans="3:3" s="31" customFormat="1" ht="12.65">
      <c r="C167" s="32"/>
    </row>
    <row r="168" spans="3:3" s="31" customFormat="1" ht="12.65">
      <c r="C168" s="32"/>
    </row>
    <row r="169" spans="3:3" s="31" customFormat="1" ht="12.65">
      <c r="C169" s="32"/>
    </row>
    <row r="170" spans="3:3" s="31" customFormat="1" ht="12.65">
      <c r="C170" s="32"/>
    </row>
    <row r="171" spans="3:3" s="31" customFormat="1" ht="12.65">
      <c r="C171" s="32"/>
    </row>
    <row r="172" spans="3:3" s="31" customFormat="1" ht="12.65">
      <c r="C172" s="32"/>
    </row>
    <row r="173" spans="3:3" s="31" customFormat="1" ht="12.65">
      <c r="C173" s="32"/>
    </row>
    <row r="174" spans="3:3" s="31" customFormat="1" ht="12.65">
      <c r="C174" s="32"/>
    </row>
    <row r="175" spans="3:3" s="31" customFormat="1" ht="12.65">
      <c r="C175" s="32"/>
    </row>
    <row r="176" spans="3:3" s="31" customFormat="1" ht="12.65">
      <c r="C176" s="32"/>
    </row>
    <row r="177" spans="3:3" s="31" customFormat="1" ht="12.65">
      <c r="C177" s="32"/>
    </row>
    <row r="178" spans="3:3" s="31" customFormat="1" ht="12.65">
      <c r="C178" s="32"/>
    </row>
    <row r="179" spans="3:3" s="31" customFormat="1" ht="12.65">
      <c r="C179" s="32"/>
    </row>
    <row r="180" spans="3:3" s="31" customFormat="1" ht="12.65">
      <c r="C180" s="32"/>
    </row>
    <row r="181" spans="3:3" s="31" customFormat="1" ht="12.65">
      <c r="C181" s="32"/>
    </row>
    <row r="182" spans="3:3" s="31" customFormat="1" ht="12.65">
      <c r="C182" s="32"/>
    </row>
    <row r="183" spans="3:3" s="31" customFormat="1" ht="12.65">
      <c r="C183" s="32"/>
    </row>
    <row r="184" spans="3:3" s="31" customFormat="1" ht="12.65">
      <c r="C184" s="32"/>
    </row>
    <row r="185" spans="3:3" s="31" customFormat="1" ht="12.65">
      <c r="C185" s="32"/>
    </row>
    <row r="186" spans="3:3" s="31" customFormat="1" ht="12.65">
      <c r="C186" s="32"/>
    </row>
    <row r="187" spans="3:3" s="31" customFormat="1" ht="12.65">
      <c r="C187" s="32"/>
    </row>
    <row r="188" spans="3:3" s="31" customFormat="1" ht="12.65">
      <c r="C188" s="32"/>
    </row>
    <row r="189" spans="3:3" s="31" customFormat="1" ht="12.65">
      <c r="C189" s="32"/>
    </row>
    <row r="190" spans="3:3" s="31" customFormat="1" ht="12.65">
      <c r="C190" s="32"/>
    </row>
    <row r="191" spans="3:3" s="31" customFormat="1" ht="12.65">
      <c r="C191" s="32"/>
    </row>
    <row r="192" spans="3:3" s="31" customFormat="1" ht="12.65">
      <c r="C192" s="32"/>
    </row>
    <row r="193" spans="3:3" s="31" customFormat="1" ht="12.65">
      <c r="C193" s="32"/>
    </row>
    <row r="194" spans="3:3" s="31" customFormat="1" ht="12.65">
      <c r="C194" s="32"/>
    </row>
    <row r="195" spans="3:3" s="31" customFormat="1" ht="12.65">
      <c r="C195" s="32"/>
    </row>
    <row r="196" spans="3:3" s="31" customFormat="1" ht="12.65">
      <c r="C196" s="32"/>
    </row>
    <row r="197" spans="3:3" s="31" customFormat="1" ht="12.65">
      <c r="C197" s="32"/>
    </row>
    <row r="198" spans="3:3" s="31" customFormat="1" ht="12.65">
      <c r="C198" s="32"/>
    </row>
    <row r="199" spans="3:3" s="31" customFormat="1" ht="12.65">
      <c r="C199" s="32"/>
    </row>
    <row r="200" spans="3:3" s="31" customFormat="1" ht="12.65">
      <c r="C200" s="32"/>
    </row>
    <row r="201" spans="3:3" s="31" customFormat="1" ht="12.65">
      <c r="C201" s="32"/>
    </row>
    <row r="202" spans="3:3" s="31" customFormat="1" ht="12.65">
      <c r="C202" s="32"/>
    </row>
    <row r="203" spans="3:3" s="31" customFormat="1" ht="12.65">
      <c r="C203" s="32"/>
    </row>
    <row r="204" spans="3:3" s="31" customFormat="1" ht="12.65">
      <c r="C204" s="32"/>
    </row>
    <row r="205" spans="3:3" s="31" customFormat="1" ht="12.65">
      <c r="C205" s="32"/>
    </row>
    <row r="206" spans="3:3" s="31" customFormat="1" ht="12.65">
      <c r="C206" s="32"/>
    </row>
    <row r="207" spans="3:3" s="31" customFormat="1" ht="12.65">
      <c r="C207" s="32"/>
    </row>
    <row r="208" spans="3:3" s="31" customFormat="1" ht="12.65">
      <c r="C208" s="32"/>
    </row>
    <row r="209" spans="3:3" s="31" customFormat="1" ht="12.65">
      <c r="C209" s="32"/>
    </row>
    <row r="210" spans="3:3" s="31" customFormat="1" ht="12.65">
      <c r="C210" s="32"/>
    </row>
    <row r="211" spans="3:3" s="31" customFormat="1" ht="12.65">
      <c r="C211" s="32"/>
    </row>
    <row r="212" spans="3:3" s="31" customFormat="1" ht="12.65">
      <c r="C212" s="32"/>
    </row>
    <row r="213" spans="3:3" s="31" customFormat="1" ht="12.65">
      <c r="C213" s="32"/>
    </row>
    <row r="214" spans="3:3" s="31" customFormat="1" ht="12.65">
      <c r="C214" s="32"/>
    </row>
    <row r="215" spans="3:3" s="31" customFormat="1" ht="12.65">
      <c r="C215" s="32"/>
    </row>
    <row r="216" spans="3:3" s="31" customFormat="1" ht="12.65">
      <c r="C216" s="32"/>
    </row>
    <row r="217" spans="3:3" s="31" customFormat="1" ht="12.65">
      <c r="C217" s="32"/>
    </row>
    <row r="218" spans="3:3" s="31" customFormat="1" ht="12.65">
      <c r="C218" s="32"/>
    </row>
    <row r="219" spans="3:3" s="31" customFormat="1" ht="12.65">
      <c r="C219" s="32"/>
    </row>
    <row r="220" spans="3:3" s="31" customFormat="1" ht="12.65">
      <c r="C220" s="32"/>
    </row>
    <row r="221" spans="3:3" s="31" customFormat="1" ht="12.65">
      <c r="C221" s="32"/>
    </row>
    <row r="222" spans="3:3" s="31" customFormat="1" ht="12.65">
      <c r="C222" s="32"/>
    </row>
    <row r="223" spans="3:3" s="31" customFormat="1" ht="12.65">
      <c r="C223" s="32"/>
    </row>
    <row r="224" spans="3:3" s="31" customFormat="1" ht="12.65">
      <c r="C224" s="32"/>
    </row>
    <row r="225" spans="3:3" s="31" customFormat="1" ht="12.65">
      <c r="C225" s="32"/>
    </row>
    <row r="226" spans="3:3" s="31" customFormat="1" ht="12.65">
      <c r="C226" s="32"/>
    </row>
    <row r="227" spans="3:3" s="31" customFormat="1" ht="12.65">
      <c r="C227" s="32"/>
    </row>
    <row r="228" spans="3:3" s="31" customFormat="1" ht="12.65">
      <c r="C228" s="32"/>
    </row>
    <row r="229" spans="3:3" s="31" customFormat="1" ht="12.65">
      <c r="C229" s="32"/>
    </row>
    <row r="230" spans="3:3" s="31" customFormat="1" ht="12.65">
      <c r="C230" s="32"/>
    </row>
    <row r="231" spans="3:3" s="31" customFormat="1" ht="12.65">
      <c r="C231" s="32"/>
    </row>
    <row r="232" spans="3:3" s="31" customFormat="1" ht="12.65">
      <c r="C232" s="32"/>
    </row>
    <row r="233" spans="3:3" s="31" customFormat="1" ht="12.65">
      <c r="C233" s="32"/>
    </row>
    <row r="234" spans="3:3" s="31" customFormat="1" ht="12.65">
      <c r="C234" s="32"/>
    </row>
    <row r="235" spans="3:3" s="31" customFormat="1" ht="12.65">
      <c r="C235" s="32"/>
    </row>
    <row r="236" spans="3:3" s="31" customFormat="1" ht="12.65">
      <c r="C236" s="32"/>
    </row>
    <row r="237" spans="3:3" s="31" customFormat="1" ht="12.65">
      <c r="C237" s="32"/>
    </row>
    <row r="238" spans="3:3" s="31" customFormat="1" ht="12.65">
      <c r="C238" s="32"/>
    </row>
    <row r="239" spans="3:3" s="31" customFormat="1" ht="12.65">
      <c r="C239" s="32"/>
    </row>
    <row r="240" spans="3:3" s="31" customFormat="1" ht="12.65">
      <c r="C240" s="32"/>
    </row>
    <row r="241" spans="3:3" s="31" customFormat="1" ht="12.65">
      <c r="C241" s="32"/>
    </row>
    <row r="242" spans="3:3" s="31" customFormat="1" ht="12.65">
      <c r="C242" s="32"/>
    </row>
    <row r="243" spans="3:3" s="31" customFormat="1" ht="12.65">
      <c r="C243" s="32"/>
    </row>
    <row r="244" spans="3:3" s="31" customFormat="1" ht="12.65">
      <c r="C244" s="32"/>
    </row>
    <row r="245" spans="3:3" s="31" customFormat="1" ht="12.65">
      <c r="C245" s="32"/>
    </row>
    <row r="246" spans="3:3" s="31" customFormat="1" ht="12.65">
      <c r="C246" s="32"/>
    </row>
    <row r="247" spans="3:3" s="31" customFormat="1" ht="12.65">
      <c r="C247" s="32"/>
    </row>
    <row r="248" spans="3:3" s="31" customFormat="1" ht="12.65">
      <c r="C248" s="32"/>
    </row>
    <row r="249" spans="3:3" s="31" customFormat="1" ht="12.65">
      <c r="C249" s="32"/>
    </row>
    <row r="250" spans="3:3" s="31" customFormat="1" ht="12.65">
      <c r="C250" s="32"/>
    </row>
    <row r="251" spans="3:3" s="31" customFormat="1" ht="12.65">
      <c r="C251" s="32"/>
    </row>
    <row r="252" spans="3:3" s="31" customFormat="1" ht="12.65">
      <c r="C252" s="32"/>
    </row>
    <row r="253" spans="3:3" s="31" customFormat="1" ht="12.65">
      <c r="C253" s="32"/>
    </row>
    <row r="254" spans="3:3" s="31" customFormat="1" ht="12.65">
      <c r="C254" s="32"/>
    </row>
    <row r="255" spans="3:3" s="31" customFormat="1" ht="12.65">
      <c r="C255" s="32"/>
    </row>
    <row r="256" spans="3:3" s="31" customFormat="1" ht="12.65">
      <c r="C256" s="32"/>
    </row>
    <row r="257" spans="3:3" s="31" customFormat="1" ht="12.65">
      <c r="C257" s="32"/>
    </row>
    <row r="258" spans="3:3" s="31" customFormat="1" ht="12.65">
      <c r="C258" s="32"/>
    </row>
    <row r="259" spans="3:3" s="31" customFormat="1" ht="12.65">
      <c r="C259" s="32"/>
    </row>
    <row r="260" spans="3:3" s="31" customFormat="1" ht="12.65">
      <c r="C260" s="32"/>
    </row>
    <row r="261" spans="3:3" s="31" customFormat="1" ht="12.65">
      <c r="C261" s="32"/>
    </row>
    <row r="262" spans="3:3" s="31" customFormat="1" ht="12.65">
      <c r="C262" s="32"/>
    </row>
    <row r="263" spans="3:3" s="31" customFormat="1" ht="12.65">
      <c r="C263" s="32"/>
    </row>
    <row r="264" spans="3:3" s="31" customFormat="1" ht="12.65">
      <c r="C264" s="32"/>
    </row>
    <row r="265" spans="3:3" s="31" customFormat="1" ht="12.65">
      <c r="C265" s="32"/>
    </row>
    <row r="266" spans="3:3" s="31" customFormat="1" ht="12.65">
      <c r="C266" s="32"/>
    </row>
    <row r="267" spans="3:3" s="31" customFormat="1" ht="12.65">
      <c r="C267" s="32"/>
    </row>
    <row r="268" spans="3:3" s="31" customFormat="1" ht="12.65">
      <c r="C268" s="32"/>
    </row>
    <row r="269" spans="3:3" s="31" customFormat="1" ht="12.65">
      <c r="C269" s="32"/>
    </row>
    <row r="270" spans="3:3" s="31" customFormat="1" ht="12.65">
      <c r="C270" s="32"/>
    </row>
    <row r="271" spans="3:3" s="31" customFormat="1" ht="12.65">
      <c r="C271" s="32"/>
    </row>
    <row r="272" spans="3:3" s="31" customFormat="1" ht="12.65">
      <c r="C272" s="32"/>
    </row>
    <row r="273" spans="3:3" s="31" customFormat="1" ht="12.65">
      <c r="C273" s="32"/>
    </row>
    <row r="274" spans="3:3" s="31" customFormat="1" ht="12.65">
      <c r="C274" s="32"/>
    </row>
    <row r="275" spans="3:3" s="31" customFormat="1" ht="12.65">
      <c r="C275" s="32"/>
    </row>
    <row r="276" spans="3:3" s="31" customFormat="1" ht="12.65">
      <c r="C276" s="32"/>
    </row>
    <row r="277" spans="3:3" s="31" customFormat="1" ht="12.65">
      <c r="C277" s="32"/>
    </row>
    <row r="278" spans="3:3" s="31" customFormat="1" ht="12.65">
      <c r="C278" s="32"/>
    </row>
    <row r="279" spans="3:3" s="31" customFormat="1" ht="12.65">
      <c r="C279" s="32"/>
    </row>
    <row r="280" spans="3:3" s="31" customFormat="1" ht="12.65">
      <c r="C280" s="32"/>
    </row>
    <row r="281" spans="3:3" s="31" customFormat="1" ht="12.65">
      <c r="C281" s="32"/>
    </row>
    <row r="282" spans="3:3" s="31" customFormat="1" ht="12.65">
      <c r="C282" s="32"/>
    </row>
    <row r="283" spans="3:3" s="31" customFormat="1" ht="12.65">
      <c r="C283" s="32"/>
    </row>
    <row r="284" spans="3:3" s="31" customFormat="1" ht="12.65">
      <c r="C284" s="32"/>
    </row>
    <row r="285" spans="3:3" s="31" customFormat="1" ht="12.65">
      <c r="C285" s="32"/>
    </row>
    <row r="286" spans="3:3" s="31" customFormat="1" ht="12.65">
      <c r="C286" s="32"/>
    </row>
    <row r="287" spans="3:3" s="31" customFormat="1" ht="12.65">
      <c r="C287" s="32"/>
    </row>
    <row r="288" spans="3:3" s="31" customFormat="1" ht="12.65">
      <c r="C288" s="32"/>
    </row>
    <row r="289" spans="3:3" s="31" customFormat="1" ht="12.65">
      <c r="C289" s="32"/>
    </row>
    <row r="290" spans="3:3" s="31" customFormat="1" ht="12.65">
      <c r="C290" s="32"/>
    </row>
    <row r="291" spans="3:3" s="31" customFormat="1" ht="12.65">
      <c r="C291" s="32"/>
    </row>
    <row r="292" spans="3:3" s="31" customFormat="1" ht="12.65">
      <c r="C292" s="32"/>
    </row>
    <row r="293" spans="3:3" s="31" customFormat="1" ht="12.65">
      <c r="C293" s="32"/>
    </row>
    <row r="294" spans="3:3" s="31" customFormat="1" ht="12.65">
      <c r="C294" s="32"/>
    </row>
    <row r="295" spans="3:3" s="31" customFormat="1" ht="12.65">
      <c r="C295" s="32"/>
    </row>
    <row r="296" spans="3:3" s="31" customFormat="1" ht="12.65">
      <c r="C296" s="32"/>
    </row>
    <row r="297" spans="3:3" s="31" customFormat="1" ht="12.65">
      <c r="C297" s="32"/>
    </row>
    <row r="298" spans="3:3" s="31" customFormat="1" ht="12.65">
      <c r="C298" s="32"/>
    </row>
    <row r="299" spans="3:3" s="31" customFormat="1" ht="12.65">
      <c r="C299" s="32"/>
    </row>
    <row r="300" spans="3:3" s="31" customFormat="1" ht="12.65">
      <c r="C300" s="32"/>
    </row>
    <row r="301" spans="3:3" s="31" customFormat="1" ht="12.65">
      <c r="C301" s="32"/>
    </row>
    <row r="302" spans="3:3" s="31" customFormat="1" ht="12.65">
      <c r="C302" s="32"/>
    </row>
    <row r="303" spans="3:3" s="31" customFormat="1" ht="12.65">
      <c r="C303" s="32"/>
    </row>
    <row r="304" spans="3:3" s="31" customFormat="1" ht="12.65">
      <c r="C304" s="32"/>
    </row>
    <row r="305" spans="3:3" s="31" customFormat="1" ht="12.65">
      <c r="C305" s="32"/>
    </row>
    <row r="306" spans="3:3" s="31" customFormat="1" ht="12.65">
      <c r="C306" s="32"/>
    </row>
    <row r="307" spans="3:3" s="31" customFormat="1" ht="12.65">
      <c r="C307" s="32"/>
    </row>
    <row r="308" spans="3:3" s="31" customFormat="1" ht="12.65">
      <c r="C308" s="32"/>
    </row>
    <row r="309" spans="3:3" s="31" customFormat="1" ht="12.65">
      <c r="C309" s="32"/>
    </row>
    <row r="310" spans="3:3" s="31" customFormat="1" ht="12.65">
      <c r="C310" s="32"/>
    </row>
    <row r="311" spans="3:3" s="31" customFormat="1" ht="12.65">
      <c r="C311" s="32"/>
    </row>
    <row r="312" spans="3:3" s="31" customFormat="1" ht="12.65">
      <c r="C312" s="32"/>
    </row>
    <row r="313" spans="3:3" s="31" customFormat="1" ht="12.65">
      <c r="C313" s="32"/>
    </row>
    <row r="314" spans="3:3" s="31" customFormat="1" ht="12.65">
      <c r="C314" s="32"/>
    </row>
    <row r="315" spans="3:3" s="31" customFormat="1" ht="12.65">
      <c r="C315" s="32"/>
    </row>
    <row r="316" spans="3:3" s="31" customFormat="1" ht="12.65">
      <c r="C316" s="32"/>
    </row>
    <row r="317" spans="3:3" s="31" customFormat="1" ht="12.65">
      <c r="C317" s="32"/>
    </row>
    <row r="318" spans="3:3" s="31" customFormat="1" ht="12.65">
      <c r="C318" s="32"/>
    </row>
    <row r="319" spans="3:3" s="31" customFormat="1" ht="12.65">
      <c r="C319" s="32"/>
    </row>
    <row r="320" spans="3:3" s="31" customFormat="1" ht="12.65">
      <c r="C320" s="32"/>
    </row>
    <row r="321" spans="3:3" s="31" customFormat="1" ht="12.65">
      <c r="C321" s="32"/>
    </row>
    <row r="322" spans="3:3" s="31" customFormat="1" ht="12.65">
      <c r="C322" s="32"/>
    </row>
    <row r="323" spans="3:3" s="31" customFormat="1" ht="12.65">
      <c r="C323" s="32"/>
    </row>
    <row r="324" spans="3:3" s="31" customFormat="1" ht="12.65">
      <c r="C324" s="32"/>
    </row>
    <row r="325" spans="3:3" s="31" customFormat="1" ht="12.65">
      <c r="C325" s="32"/>
    </row>
    <row r="326" spans="3:3" s="31" customFormat="1" ht="12.65">
      <c r="C326" s="32"/>
    </row>
    <row r="327" spans="3:3" s="31" customFormat="1" ht="12.65">
      <c r="C327" s="32"/>
    </row>
    <row r="328" spans="3:3" s="31" customFormat="1" ht="12.65">
      <c r="C328" s="32"/>
    </row>
    <row r="329" spans="3:3" s="31" customFormat="1" ht="12.65">
      <c r="C329" s="32"/>
    </row>
    <row r="330" spans="3:3" s="31" customFormat="1" ht="12.65">
      <c r="C330" s="32"/>
    </row>
    <row r="331" spans="3:3" s="31" customFormat="1" ht="12.65">
      <c r="C331" s="32"/>
    </row>
    <row r="332" spans="3:3" s="31" customFormat="1" ht="12.65">
      <c r="C332" s="32"/>
    </row>
    <row r="333" spans="3:3" s="31" customFormat="1" ht="12.65">
      <c r="C333" s="32"/>
    </row>
    <row r="334" spans="3:3" s="31" customFormat="1" ht="12.65">
      <c r="C334" s="32"/>
    </row>
    <row r="335" spans="3:3" s="31" customFormat="1" ht="12.65">
      <c r="C335" s="32"/>
    </row>
    <row r="336" spans="3:3" s="31" customFormat="1" ht="12.65">
      <c r="C336" s="32"/>
    </row>
    <row r="337" spans="3:3" s="31" customFormat="1" ht="12.65">
      <c r="C337" s="32"/>
    </row>
    <row r="338" spans="3:3" s="31" customFormat="1" ht="12.65">
      <c r="C338" s="32"/>
    </row>
    <row r="339" spans="3:3" s="31" customFormat="1" ht="12.65">
      <c r="C339" s="32"/>
    </row>
    <row r="340" spans="3:3" s="31" customFormat="1" ht="12.65">
      <c r="C340" s="32"/>
    </row>
    <row r="341" spans="3:3" s="31" customFormat="1" ht="12.65">
      <c r="C341" s="32"/>
    </row>
    <row r="342" spans="3:3" s="31" customFormat="1" ht="12.65">
      <c r="C342" s="32"/>
    </row>
    <row r="343" spans="3:3" s="31" customFormat="1" ht="12.65">
      <c r="C343" s="32"/>
    </row>
    <row r="344" spans="3:3" s="31" customFormat="1" ht="12.65">
      <c r="C344" s="32"/>
    </row>
  </sheetData>
  <mergeCells count="18">
    <mergeCell ref="A1:N1"/>
    <mergeCell ref="E45:M49"/>
    <mergeCell ref="A51:F51"/>
    <mergeCell ref="A52:F52"/>
    <mergeCell ref="A53:B53"/>
    <mergeCell ref="A59:F59"/>
    <mergeCell ref="A60:F60"/>
    <mergeCell ref="A63:F63"/>
    <mergeCell ref="A65:F65"/>
    <mergeCell ref="A66:F66"/>
    <mergeCell ref="A76:F76"/>
    <mergeCell ref="A78:F78"/>
    <mergeCell ref="A79:F79"/>
    <mergeCell ref="A67:F67"/>
    <mergeCell ref="A69:E69"/>
    <mergeCell ref="A70:F70"/>
    <mergeCell ref="A74:F74"/>
    <mergeCell ref="A75:F75"/>
  </mergeCells>
  <printOptions horizontalCentered="1"/>
  <pageMargins left="0.2" right="0.2" top="0.75" bottom="0.75" header="0.3" footer="0.3"/>
  <pageSetup scale="70" orientation="landscape" r:id="rId1"/>
  <headerFooter>
    <oddHeader xml:space="preserve">&amp;CDRAFT NOT FOR DISTRIBUTION, INTERNAL USE ONLY
</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E252CA5D798348B525EE5AB8EF5B99" ma:contentTypeVersion="11" ma:contentTypeDescription="Create a new document." ma:contentTypeScope="" ma:versionID="1df5abcadb5a2356ea71bc47b04cb9e1">
  <xsd:schema xmlns:xsd="http://www.w3.org/2001/XMLSchema" xmlns:xs="http://www.w3.org/2001/XMLSchema" xmlns:p="http://schemas.microsoft.com/office/2006/metadata/properties" xmlns:ns2="31d70d2e-c716-431c-8f60-6265183dc3f0" xmlns:ns3="8485b1c4-1230-4cee-9069-208a9fb16a86" targetNamespace="http://schemas.microsoft.com/office/2006/metadata/properties" ma:root="true" ma:fieldsID="bdbe5440e322bcf8094804f17e1898ee" ns2:_="" ns3:_="">
    <xsd:import namespace="31d70d2e-c716-431c-8f60-6265183dc3f0"/>
    <xsd:import namespace="8485b1c4-1230-4cee-9069-208a9fb16a8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70d2e-c716-431c-8f60-6265183dc3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85b1c4-1230-4cee-9069-208a9fb16a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E5CE2C-90C4-4D57-B42A-0A0FE17B6904}">
  <ds:schemaRefs>
    <ds:schemaRef ds:uri="http://schemas.microsoft.com/sharepoint/v3/contenttype/forms"/>
  </ds:schemaRefs>
</ds:datastoreItem>
</file>

<file path=customXml/itemProps2.xml><?xml version="1.0" encoding="utf-8"?>
<ds:datastoreItem xmlns:ds="http://schemas.openxmlformats.org/officeDocument/2006/customXml" ds:itemID="{F39DA166-01F4-4755-A432-9FA96B2AB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70d2e-c716-431c-8f60-6265183dc3f0"/>
    <ds:schemaRef ds:uri="8485b1c4-1230-4cee-9069-208a9fb16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BCD77F-7FE0-49A1-AAF6-ACF437A294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15</vt:i4>
      </vt:variant>
    </vt:vector>
  </HeadingPairs>
  <TitlesOfParts>
    <vt:vector size="66" baseType="lpstr">
      <vt:lpstr>Prep%Fuelspercentage.direct</vt:lpstr>
      <vt:lpstr>Chng Log</vt:lpstr>
      <vt:lpstr>Summary</vt:lpstr>
      <vt:lpstr>DOI Prog&amp;SLA Summary</vt:lpstr>
      <vt:lpstr>IT (WFIT) Project Summary</vt:lpstr>
      <vt:lpstr>Aviation Assets</vt:lpstr>
      <vt:lpstr>Collaborative Imp</vt:lpstr>
      <vt:lpstr>DOI prep agrmnts</vt:lpstr>
      <vt:lpstr>ITSS Training</vt:lpstr>
      <vt:lpstr>LLC Support</vt:lpstr>
      <vt:lpstr>Lightning Det.</vt:lpstr>
      <vt:lpstr>Med Standards Ops</vt:lpstr>
      <vt:lpstr>WFMRD&amp;A</vt:lpstr>
      <vt:lpstr>DOI Fuels Agrmnts</vt:lpstr>
      <vt:lpstr>SageSTEP</vt:lpstr>
      <vt:lpstr>BAR Program</vt:lpstr>
      <vt:lpstr>CPC</vt:lpstr>
      <vt:lpstr>FIRES</vt:lpstr>
      <vt:lpstr>Med Standards Exams</vt:lpstr>
      <vt:lpstr>Misc and one-time - Prep</vt:lpstr>
      <vt:lpstr>Misc and one-time - Fuels</vt:lpstr>
      <vt:lpstr>NIFC Site &amp; Admin</vt:lpstr>
      <vt:lpstr>NWCG Staff</vt:lpstr>
      <vt:lpstr>NWCG Prep Projects</vt:lpstr>
      <vt:lpstr>RSFWSU (RAWS) SLA</vt:lpstr>
      <vt:lpstr>FireNET.Licensing</vt:lpstr>
      <vt:lpstr>Facilities Plan</vt:lpstr>
      <vt:lpstr>Active Lands PoC</vt:lpstr>
      <vt:lpstr>AGOL Collector</vt:lpstr>
      <vt:lpstr>CAD</vt:lpstr>
      <vt:lpstr>CROS</vt:lpstr>
      <vt:lpstr>FFI</vt:lpstr>
      <vt:lpstr>FEIS</vt:lpstr>
      <vt:lpstr>FireCode</vt:lpstr>
      <vt:lpstr>FIRENET</vt:lpstr>
      <vt:lpstr>FxNET-AWIPSII</vt:lpstr>
      <vt:lpstr>IFTDSS</vt:lpstr>
      <vt:lpstr>INFORM</vt:lpstr>
      <vt:lpstr>IQCS</vt:lpstr>
      <vt:lpstr>IrWIN</vt:lpstr>
      <vt:lpstr>LANDFIRE</vt:lpstr>
      <vt:lpstr>MTBS</vt:lpstr>
      <vt:lpstr>NFPORS</vt:lpstr>
      <vt:lpstr>SAFENET</vt:lpstr>
      <vt:lpstr>WFDSS</vt:lpstr>
      <vt:lpstr>WFIT Data Management</vt:lpstr>
      <vt:lpstr>WFIT Staff</vt:lpstr>
      <vt:lpstr>WFMI-Fire Reporting</vt:lpstr>
      <vt:lpstr>WFMI-Lightning</vt:lpstr>
      <vt:lpstr>WFMI-Unit ID</vt:lpstr>
      <vt:lpstr>WFMI-Weather</vt:lpstr>
      <vt:lpstr>'Aviation Assets'!Print_Area</vt:lpstr>
      <vt:lpstr>'Collaborative Imp'!Print_Area</vt:lpstr>
      <vt:lpstr>'DOI Prog&amp;SLA Summary'!Print_Area</vt:lpstr>
      <vt:lpstr>'IT (WFIT) Project Summary'!Print_Area</vt:lpstr>
      <vt:lpstr>Summary!Print_Area</vt:lpstr>
      <vt:lpstr>'DOI Fuels Agrmnts'!Print_Titles</vt:lpstr>
      <vt:lpstr>'DOI prep agrmnts'!Print_Titles</vt:lpstr>
      <vt:lpstr>'DOI Prog&amp;SLA Summary'!Print_Titles</vt:lpstr>
      <vt:lpstr>IFTDSS!Print_Titles</vt:lpstr>
      <vt:lpstr>IrWIN!Print_Titles</vt:lpstr>
      <vt:lpstr>LANDFIRE!Print_Titles</vt:lpstr>
      <vt:lpstr>NFPORS!Print_Titles</vt:lpstr>
      <vt:lpstr>'NWCG Staff'!Print_Titles</vt:lpstr>
      <vt:lpstr>'Prep%Fuelspercentage.direct'!Print_Titles</vt:lpstr>
      <vt:lpstr>Summary!Print_Titles</vt:lpstr>
    </vt:vector>
  </TitlesOfParts>
  <Manager/>
  <Company>NBC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Schmitz, Denise</dc:creator>
  <cp:keywords/>
  <dc:description/>
  <cp:lastModifiedBy>Salwasser, Kimberly R</cp:lastModifiedBy>
  <cp:revision/>
  <dcterms:created xsi:type="dcterms:W3CDTF">2013-03-19T15:11:40Z</dcterms:created>
  <dcterms:modified xsi:type="dcterms:W3CDTF">2022-04-25T17:50:49Z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0x01010061E252CA5D798348B525EE5AB8EF5B99</vt:lpwstr>
  </property>
</Properties>
</file>